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91" firstSheet="8" activeTab="12"/>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'Country Information'!$C$7</definedName>
    <definedName name="Facility_name">'Facility information'!$C$5</definedName>
    <definedName name="Facility_type">'Facility information'!$C$7</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normal_circumcisions_per_year">'Share of Facility Time'!$D$14</definedName>
    <definedName name="Occupations">'Cost Inputs - Personnel'!$B$16:$L$30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Personnel'!$B$16:$L$30</definedName>
    <definedName name="_xlnm.Print_Area" localSheetId="7">'Cost Inputs - Drug &amp; Supplies'!$B$1:$J$24</definedName>
    <definedName name="_xlnm.Print_Area" localSheetId="4">'Cost Inputs - Personnel'!$B$1:$L$40</definedName>
    <definedName name="_xlnm.Print_Area" localSheetId="6">'Direct Cost - Drugs &amp; Supplies'!$A$6:$L$6</definedName>
    <definedName name="_xlnm.Print_Area" localSheetId="5">'Direct Cost - Personnel'!$B$1:$I$94</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s>
  <calcPr fullCalcOnLoad="1"/>
</workbook>
</file>

<file path=xl/comments11.xml><?xml version="1.0" encoding="utf-8"?>
<comments xmlns="http://schemas.openxmlformats.org/spreadsheetml/2006/main">
  <authors>
    <author>Gayle H. Martin</author>
    <author> </author>
  </authors>
  <commentList>
    <comment ref="D5" authorId="0">
      <text>
        <r>
          <rPr>
            <b/>
            <sz val="8"/>
            <rFont val="Tahoma"/>
            <family val="2"/>
          </rPr>
          <t>Gayle H. Martin:</t>
        </r>
        <r>
          <rPr>
            <sz val="8"/>
            <rFont val="Tahoma"/>
            <family val="2"/>
          </rPr>
          <t xml:space="preserve">
Indicate with an "x"</t>
        </r>
      </text>
    </comment>
    <comment ref="B15" authorId="1">
      <text>
        <r>
          <rPr>
            <b/>
            <sz val="8"/>
            <rFont val="Tahoma"/>
            <family val="2"/>
          </rPr>
          <t xml:space="preserve">TPR: </t>
        </r>
        <r>
          <rPr>
            <sz val="8"/>
            <rFont val="Tahoma"/>
            <family val="2"/>
          </rPr>
          <t>includes - sluiceroom (commodes, bedpans, etc), laundry, mortuary, dressing room, etc.</t>
        </r>
        <r>
          <rPr>
            <sz val="8"/>
            <rFont val="Tahoma"/>
            <family val="2"/>
          </rPr>
          <t xml:space="preserve">
</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2"/>
          </rPr>
          <t>lbollinger:</t>
        </r>
        <r>
          <rPr>
            <sz val="8"/>
            <rFont val="Tahoma"/>
            <family val="2"/>
          </rPr>
          <t xml:space="preserve">
Default value of 0.3% is based on AAP Statement on Circumcision, 1999, re-affirmed 2005</t>
        </r>
      </text>
    </comment>
    <comment ref="E16" authorId="0">
      <text>
        <r>
          <rPr>
            <b/>
            <sz val="8"/>
            <rFont val="Tahoma"/>
            <family val="2"/>
          </rPr>
          <t>lbollinger:</t>
        </r>
        <r>
          <rPr>
            <sz val="8"/>
            <rFont val="Tahoma"/>
            <family val="2"/>
          </rPr>
          <t xml:space="preserve">
Default value of 6.3% is based on averages across LSZ studies</t>
        </r>
      </text>
    </comment>
    <comment ref="G15" authorId="0">
      <text>
        <r>
          <rPr>
            <b/>
            <sz val="8"/>
            <rFont val="Tahoma"/>
            <family val="2"/>
          </rPr>
          <t>lbollinger:</t>
        </r>
        <r>
          <rPr>
            <sz val="8"/>
            <rFont val="Tahoma"/>
            <family val="2"/>
          </rPr>
          <t xml:space="preserve">
Default value of 0.3% is based on AAP Statement on Circumcision, 1999, re-affirmed 2005</t>
        </r>
      </text>
    </comment>
    <comment ref="E15" authorId="0">
      <text>
        <r>
          <rPr>
            <b/>
            <sz val="8"/>
            <rFont val="Tahoma"/>
            <family val="2"/>
          </rPr>
          <t>lbollinger:</t>
        </r>
        <r>
          <rPr>
            <sz val="8"/>
            <rFont val="Tahoma"/>
            <family val="2"/>
          </rPr>
          <t xml:space="preserve">
Default value of 2.2% is based on average across LSZ studies</t>
        </r>
      </text>
    </comment>
    <comment ref="C8" authorId="0">
      <text>
        <r>
          <rPr>
            <b/>
            <sz val="8"/>
            <rFont val="Tahoma"/>
            <family val="2"/>
          </rPr>
          <t>lbollinger:</t>
        </r>
        <r>
          <rPr>
            <sz val="8"/>
            <rFont val="Tahoma"/>
            <family val="2"/>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2"/>
          </rPr>
          <t>lbollinger:</t>
        </r>
        <r>
          <rPr>
            <sz val="8"/>
            <rFont val="Tahoma"/>
            <family val="2"/>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2"/>
          </rPr>
          <t>Gayle H. Martin:</t>
        </r>
        <r>
          <rPr>
            <sz val="8"/>
            <rFont val="Tahoma"/>
            <family val="2"/>
          </rPr>
          <t xml:space="preserve">
15 min for intake, 35 min for surgery (prep, surgery, dressing)</t>
        </r>
      </text>
    </comment>
    <comment ref="D15" authorId="0">
      <text>
        <r>
          <rPr>
            <b/>
            <sz val="8"/>
            <rFont val="Tahoma"/>
            <family val="2"/>
          </rPr>
          <t>Gayle H. Martin:</t>
        </r>
        <r>
          <rPr>
            <sz val="8"/>
            <rFont val="Tahoma"/>
            <family val="2"/>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2"/>
          </rPr>
          <t>Gayle H. Martin:</t>
        </r>
        <r>
          <rPr>
            <sz val="8"/>
            <rFont val="Tahoma"/>
            <family val="2"/>
          </rPr>
          <t xml:space="preserve">
2 pairs for doctor
2 pairs for nurse</t>
        </r>
      </text>
    </comment>
    <comment ref="A79" authorId="0">
      <text>
        <r>
          <rPr>
            <b/>
            <sz val="8"/>
            <rFont val="Tahoma"/>
            <family val="2"/>
          </rPr>
          <t>Gayle H. Martin:</t>
        </r>
        <r>
          <rPr>
            <sz val="8"/>
            <rFont val="Tahoma"/>
            <family val="2"/>
          </rPr>
          <t xml:space="preserve">
after 2 to 3 days</t>
        </r>
      </text>
    </comment>
    <comment ref="O30"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2"/>
          </rPr>
          <t>Gayle H. Martin:</t>
        </r>
        <r>
          <rPr>
            <sz val="8"/>
            <rFont val="Tahoma"/>
            <family val="2"/>
          </rPr>
          <t xml:space="preserve">
after 7 days</t>
        </r>
      </text>
    </comment>
    <comment ref="A8" authorId="0">
      <text>
        <r>
          <rPr>
            <b/>
            <sz val="8"/>
            <rFont val="Tahoma"/>
            <family val="2"/>
          </rPr>
          <t>Gayle H. Martin:</t>
        </r>
        <r>
          <rPr>
            <sz val="8"/>
            <rFont val="Tahoma"/>
            <family val="2"/>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2"/>
          </rPr>
          <t>Gayle H. Martin:</t>
        </r>
        <r>
          <rPr>
            <sz val="8"/>
            <rFont val="Tahoma"/>
            <family val="2"/>
          </rPr>
          <t xml:space="preserve">
for circulating nurse</t>
        </r>
      </text>
    </comment>
    <comment ref="O26"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2"/>
          </rPr>
          <t>Gayle H. Martin:</t>
        </r>
        <r>
          <rPr>
            <sz val="8"/>
            <rFont val="Tahoma"/>
            <family val="2"/>
          </rPr>
          <t xml:space="preserve">
for aspiration of local aneasthetic from bottle</t>
        </r>
      </text>
    </comment>
    <comment ref="B25" authorId="0">
      <text>
        <r>
          <rPr>
            <b/>
            <sz val="8"/>
            <rFont val="Tahoma"/>
            <family val="2"/>
          </rPr>
          <t>Gayle H. Martin:</t>
        </r>
        <r>
          <rPr>
            <sz val="8"/>
            <rFont val="Tahoma"/>
            <family val="2"/>
          </rPr>
          <t xml:space="preserve">
for local aneasathetic injection</t>
        </r>
      </text>
    </comment>
    <comment ref="B121" authorId="0">
      <text>
        <r>
          <rPr>
            <b/>
            <sz val="8"/>
            <rFont val="Tahoma"/>
            <family val="2"/>
          </rPr>
          <t>Gayle H. Martin:</t>
        </r>
        <r>
          <rPr>
            <sz val="8"/>
            <rFont val="Tahoma"/>
            <family val="2"/>
          </rPr>
          <t xml:space="preserve">
Parafinated gauze with betadine</t>
        </r>
      </text>
    </comment>
    <comment ref="B96" authorId="0">
      <text>
        <r>
          <rPr>
            <b/>
            <sz val="8"/>
            <rFont val="Tahoma"/>
            <family val="2"/>
          </rPr>
          <t>Gayle H. Martin:</t>
        </r>
        <r>
          <rPr>
            <sz val="8"/>
            <rFont val="Tahoma"/>
            <family val="2"/>
          </rPr>
          <t xml:space="preserve">
are these consumable?</t>
        </r>
      </text>
    </comment>
    <comment ref="E10" authorId="0">
      <text>
        <r>
          <rPr>
            <b/>
            <sz val="8"/>
            <rFont val="Tahoma"/>
            <family val="2"/>
          </rPr>
          <t>Gayle H. Martin:</t>
        </r>
        <r>
          <rPr>
            <sz val="8"/>
            <rFont val="Tahoma"/>
            <family val="2"/>
          </rPr>
          <t xml:space="preserve">
By the doctor nurse doing the examination.</t>
        </r>
      </text>
    </comment>
    <comment ref="E23" authorId="0">
      <text>
        <r>
          <rPr>
            <b/>
            <sz val="8"/>
            <rFont val="Tahoma"/>
            <family val="2"/>
          </rPr>
          <t>Gayle H. Martin:</t>
        </r>
        <r>
          <rPr>
            <sz val="8"/>
            <rFont val="Tahoma"/>
            <family val="2"/>
          </rPr>
          <t xml:space="preserve">
20ml</t>
        </r>
      </text>
    </comment>
    <comment ref="E37" authorId="0">
      <text>
        <r>
          <rPr>
            <b/>
            <sz val="8"/>
            <rFont val="Tahoma"/>
            <family val="2"/>
          </rPr>
          <t>Gayle H. Martin:</t>
        </r>
        <r>
          <rPr>
            <sz val="8"/>
            <rFont val="Tahoma"/>
            <family val="2"/>
          </rPr>
          <t xml:space="preserve">
10cm</t>
        </r>
      </text>
    </comment>
    <comment ref="E88" authorId="0">
      <text>
        <r>
          <rPr>
            <b/>
            <sz val="8"/>
            <rFont val="Tahoma"/>
            <family val="2"/>
          </rPr>
          <t>Gayle H. Martin:</t>
        </r>
        <r>
          <rPr>
            <sz val="8"/>
            <rFont val="Tahoma"/>
            <family val="2"/>
          </rPr>
          <t xml:space="preserve">
10cm</t>
        </r>
      </text>
    </comment>
    <comment ref="E92" authorId="0">
      <text>
        <r>
          <rPr>
            <b/>
            <sz val="8"/>
            <rFont val="Tahoma"/>
            <family val="2"/>
          </rPr>
          <t>Gayle H. Martin:</t>
        </r>
        <r>
          <rPr>
            <sz val="8"/>
            <rFont val="Tahoma"/>
            <family val="2"/>
          </rPr>
          <t xml:space="preserve">
4prs (double gloves for nurse and surgeon)</t>
        </r>
      </text>
    </comment>
    <comment ref="E93" authorId="0">
      <text>
        <r>
          <rPr>
            <b/>
            <sz val="8"/>
            <rFont val="Tahoma"/>
            <family val="2"/>
          </rPr>
          <t>Gayle H. Martin:</t>
        </r>
        <r>
          <rPr>
            <sz val="8"/>
            <rFont val="Tahoma"/>
            <family val="2"/>
          </rPr>
          <t xml:space="preserve">
for circulating nurse</t>
        </r>
      </text>
    </comment>
    <comment ref="E103" authorId="0">
      <text>
        <r>
          <rPr>
            <b/>
            <sz val="8"/>
            <rFont val="Tahoma"/>
            <family val="2"/>
          </rPr>
          <t>Gayle H. Martin:</t>
        </r>
        <r>
          <rPr>
            <sz val="8"/>
            <rFont val="Tahoma"/>
            <family val="2"/>
          </rPr>
          <t xml:space="preserve">
20ml</t>
        </r>
      </text>
    </comment>
    <comment ref="B104" authorId="0">
      <text>
        <r>
          <rPr>
            <b/>
            <sz val="8"/>
            <rFont val="Tahoma"/>
            <family val="2"/>
          </rPr>
          <t>Gayle H. Martin:</t>
        </r>
        <r>
          <rPr>
            <sz val="8"/>
            <rFont val="Tahoma"/>
            <family val="2"/>
          </rPr>
          <t xml:space="preserve">
for aspiration of local aneasthetic from bottle</t>
        </r>
      </text>
    </comment>
    <comment ref="B105" authorId="0">
      <text>
        <r>
          <rPr>
            <b/>
            <sz val="8"/>
            <rFont val="Tahoma"/>
            <family val="2"/>
          </rPr>
          <t>Gayle H. Martin:</t>
        </r>
        <r>
          <rPr>
            <sz val="8"/>
            <rFont val="Tahoma"/>
            <family val="2"/>
          </rPr>
          <t xml:space="preserve">
for local aneasathetic injection</t>
        </r>
      </text>
    </comment>
    <comment ref="E107" authorId="0">
      <text>
        <r>
          <rPr>
            <b/>
            <sz val="8"/>
            <rFont val="Tahoma"/>
            <family val="2"/>
          </rPr>
          <t>Gayle H. Martin:</t>
        </r>
        <r>
          <rPr>
            <sz val="8"/>
            <rFont val="Tahoma"/>
            <family val="2"/>
          </rPr>
          <t xml:space="preserve">
2 sutures packs</t>
        </r>
      </text>
    </comment>
    <comment ref="A91" authorId="0">
      <text>
        <r>
          <rPr>
            <b/>
            <sz val="8"/>
            <rFont val="Tahoma"/>
            <family val="2"/>
          </rPr>
          <t>Gayle H. Martin:</t>
        </r>
        <r>
          <rPr>
            <sz val="8"/>
            <rFont val="Tahoma"/>
            <family val="2"/>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2"/>
          </rPr>
          <t>Gayle H. Martin:</t>
        </r>
        <r>
          <rPr>
            <sz val="8"/>
            <rFont val="Tahoma"/>
            <family val="2"/>
          </rPr>
          <t xml:space="preserve">
10cm</t>
        </r>
      </text>
    </comment>
    <comment ref="E17" authorId="0">
      <text>
        <r>
          <rPr>
            <b/>
            <sz val="8"/>
            <rFont val="Tahoma"/>
            <family val="2"/>
          </rPr>
          <t xml:space="preserve">Gayle H. Martin:
</t>
        </r>
        <r>
          <rPr>
            <sz val="8"/>
            <rFont val="Tahoma"/>
            <family val="2"/>
          </rPr>
          <t>15ml for surgeon and surgical nurse</t>
        </r>
      </text>
    </comment>
    <comment ref="E97" authorId="0">
      <text>
        <r>
          <rPr>
            <b/>
            <sz val="8"/>
            <rFont val="Tahoma"/>
            <family val="2"/>
          </rPr>
          <t>Gayle H. Martin:</t>
        </r>
        <r>
          <rPr>
            <sz val="8"/>
            <rFont val="Tahoma"/>
            <family val="2"/>
          </rPr>
          <t xml:space="preserve">
15ml per person</t>
        </r>
      </text>
    </comment>
    <comment ref="E112" authorId="0">
      <text>
        <r>
          <rPr>
            <b/>
            <sz val="8"/>
            <rFont val="Tahoma"/>
            <family val="2"/>
          </rPr>
          <t>Gayle H. Martin:</t>
        </r>
        <r>
          <rPr>
            <sz val="8"/>
            <rFont val="Tahoma"/>
            <family val="2"/>
          </rPr>
          <t xml:space="preserve">
10cm</t>
        </r>
      </text>
    </comment>
    <comment ref="B138" authorId="0">
      <text>
        <r>
          <rPr>
            <b/>
            <sz val="8"/>
            <rFont val="Tahoma"/>
            <family val="2"/>
          </rPr>
          <t>Gayle H. Martin:</t>
        </r>
        <r>
          <rPr>
            <sz val="8"/>
            <rFont val="Tahoma"/>
            <family val="2"/>
          </rPr>
          <t xml:space="preserve">
fro irrigation of wound.</t>
        </r>
      </text>
    </comment>
    <comment ref="A190" authorId="0">
      <text>
        <r>
          <rPr>
            <b/>
            <sz val="8"/>
            <rFont val="Tahoma"/>
            <family val="2"/>
          </rPr>
          <t>Gayle H. Martin:</t>
        </r>
        <r>
          <rPr>
            <sz val="8"/>
            <rFont val="Tahoma"/>
            <family val="2"/>
          </rPr>
          <t xml:space="preserve">
Non-consumable supplies assumed to be used for 500 circumcisions.</t>
        </r>
      </text>
    </comment>
    <comment ref="A191"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2"/>
          </rPr>
          <t>Gayle H. Martin:</t>
        </r>
        <r>
          <rPr>
            <sz val="8"/>
            <rFont val="Tahoma"/>
            <family val="2"/>
          </rPr>
          <t xml:space="preserve">
Non-consumable supplies assumed to be used for 500 circumcisions.</t>
        </r>
      </text>
    </comment>
    <comment ref="A198"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2"/>
          </rPr>
          <t>Gayle H. Martin:</t>
        </r>
        <r>
          <rPr>
            <sz val="8"/>
            <rFont val="Tahoma"/>
            <family val="2"/>
          </rPr>
          <t xml:space="preserve">
2 pairs for doctor
2 pairs for nurse</t>
        </r>
      </text>
    </comment>
    <comment ref="E47" authorId="0">
      <text>
        <r>
          <rPr>
            <b/>
            <sz val="8"/>
            <rFont val="Tahoma"/>
            <family val="2"/>
          </rPr>
          <t>Gayle H. Martin:</t>
        </r>
        <r>
          <rPr>
            <sz val="8"/>
            <rFont val="Tahoma"/>
            <family val="2"/>
          </rPr>
          <t xml:space="preserve">
for circulating nurse</t>
        </r>
      </text>
    </comment>
    <comment ref="E51" authorId="0">
      <text>
        <r>
          <rPr>
            <b/>
            <sz val="8"/>
            <rFont val="Tahoma"/>
            <family val="2"/>
          </rPr>
          <t xml:space="preserve">Gayle H. Martin:
</t>
        </r>
        <r>
          <rPr>
            <sz val="8"/>
            <rFont val="Tahoma"/>
            <family val="2"/>
          </rPr>
          <t>15ml for surgeon and surgical nurse</t>
        </r>
      </text>
    </comment>
    <comment ref="E57" authorId="0">
      <text>
        <r>
          <rPr>
            <b/>
            <sz val="8"/>
            <rFont val="Tahoma"/>
            <family val="2"/>
          </rPr>
          <t>Gayle H. Martin:</t>
        </r>
        <r>
          <rPr>
            <sz val="8"/>
            <rFont val="Tahoma"/>
            <family val="2"/>
          </rPr>
          <t xml:space="preserve">
20ml</t>
        </r>
      </text>
    </comment>
    <comment ref="E71" authorId="0">
      <text>
        <r>
          <rPr>
            <b/>
            <sz val="8"/>
            <rFont val="Tahoma"/>
            <family val="2"/>
          </rPr>
          <t>Gayle H. Martin:</t>
        </r>
        <r>
          <rPr>
            <sz val="8"/>
            <rFont val="Tahoma"/>
            <family val="2"/>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2"/>
          </rPr>
          <t>Gayle H. Martin:</t>
        </r>
        <r>
          <rPr>
            <sz val="8"/>
            <rFont val="Tahoma"/>
            <family val="2"/>
          </rPr>
          <t xml:space="preserve">
Parafinated gauze with betadine</t>
        </r>
      </text>
    </comment>
    <comment ref="H10" authorId="0">
      <text>
        <r>
          <rPr>
            <b/>
            <sz val="8"/>
            <rFont val="Tahoma"/>
            <family val="2"/>
          </rPr>
          <t>Gayle H. Martin:</t>
        </r>
        <r>
          <rPr>
            <sz val="8"/>
            <rFont val="Tahoma"/>
            <family val="2"/>
          </rPr>
          <t xml:space="preserve">
100 pieces</t>
        </r>
      </text>
    </comment>
    <comment ref="H24" authorId="0">
      <text>
        <r>
          <rPr>
            <b/>
            <sz val="8"/>
            <rFont val="Tahoma"/>
            <family val="2"/>
          </rPr>
          <t>Gayle H. Martin:</t>
        </r>
        <r>
          <rPr>
            <sz val="8"/>
            <rFont val="Tahoma"/>
            <family val="2"/>
          </rPr>
          <t xml:space="preserve">
10 ml</t>
        </r>
      </text>
    </comment>
    <comment ref="H34" authorId="0">
      <text>
        <r>
          <rPr>
            <b/>
            <sz val="8"/>
            <rFont val="Tahoma"/>
            <family val="2"/>
          </rPr>
          <t>Gayle H. Martin:</t>
        </r>
        <r>
          <rPr>
            <sz val="8"/>
            <rFont val="Tahoma"/>
            <family val="2"/>
          </rPr>
          <t xml:space="preserve">
2L</t>
        </r>
      </text>
    </comment>
    <comment ref="J34" authorId="0">
      <text>
        <r>
          <rPr>
            <b/>
            <sz val="8"/>
            <rFont val="Tahoma"/>
            <family val="2"/>
          </rPr>
          <t>Gayle H. Martin:</t>
        </r>
        <r>
          <rPr>
            <sz val="8"/>
            <rFont val="Tahoma"/>
            <family val="2"/>
          </rPr>
          <t xml:space="preserve">
cost per ml</t>
        </r>
      </text>
    </comment>
    <comment ref="H36" authorId="0">
      <text>
        <r>
          <rPr>
            <b/>
            <sz val="8"/>
            <rFont val="Tahoma"/>
            <family val="2"/>
          </rPr>
          <t>Gayle H. Martin:</t>
        </r>
        <r>
          <rPr>
            <sz val="8"/>
            <rFont val="Tahoma"/>
            <family val="2"/>
          </rPr>
          <t xml:space="preserve">
1,000 ml</t>
        </r>
      </text>
    </comment>
    <comment ref="J31" authorId="1">
      <text>
        <r>
          <rPr>
            <b/>
            <sz val="8"/>
            <rFont val="Tahoma"/>
            <family val="2"/>
          </rPr>
          <t>lbollinger:</t>
        </r>
        <r>
          <rPr>
            <sz val="8"/>
            <rFont val="Tahoma"/>
            <family val="2"/>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<sst xmlns="http://schemas.openxmlformats.org/spreadsheetml/2006/main" count="695" uniqueCount="446">
  <si>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</si>
  <si>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</si>
  <si>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</si>
  <si>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</si>
  <si>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</si>
  <si>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</si>
  <si>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</si>
  <si>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</si>
  <si>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</si>
  <si>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</si>
  <si>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</si>
  <si>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</si>
  <si>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</si>
  <si>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</si>
  <si>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</si>
  <si>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</si>
  <si>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</si>
  <si>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</si>
  <si>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</si>
  <si>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</si>
  <si>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</si>
  <si>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</si>
  <si>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</si>
  <si>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</si>
  <si>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</si>
  <si>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</si>
  <si>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</si>
  <si>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</si>
  <si>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</si>
  <si>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</si>
  <si>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</si>
  <si>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</si>
  <si>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</si>
  <si>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</si>
  <si>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</si>
  <si>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</si>
  <si>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</si>
  <si>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</si>
  <si>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</si>
  <si>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</si>
  <si>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</si>
  <si>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</si>
  <si>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</si>
  <si>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</si>
  <si>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</si>
  <si>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</si>
  <si>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</si>
  <si>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</si>
  <si>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</si>
  <si>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</si>
  <si>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</si>
  <si>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</si>
  <si>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</si>
  <si>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</si>
  <si>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</si>
  <si>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</si>
  <si>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</si>
  <si>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</si>
  <si>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</si>
  <si>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</si>
  <si>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</si>
  <si>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</si>
  <si>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</si>
  <si>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</si>
  <si>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</si>
  <si>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</si>
  <si>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</si>
  <si>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</si>
  <si>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</si>
  <si>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</si>
  <si>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</si>
  <si>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</si>
  <si>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</si>
  <si>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</si>
  <si>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</si>
  <si>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</si>
  <si>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</si>
  <si>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</si>
  <si>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</si>
  <si>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</si>
  <si>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</si>
  <si>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</si>
  <si>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</si>
  <si>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</si>
  <si>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</si>
  <si>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</si>
  <si>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</si>
  <si>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</si>
  <si>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</si>
  <si>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</si>
  <si>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</si>
  <si>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</si>
  <si>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</si>
  <si>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</si>
  <si>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</si>
  <si>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</si>
  <si>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</si>
  <si>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</si>
  <si>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</si>
  <si>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</si>
  <si>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</si>
  <si>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</si>
  <si>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</si>
  <si>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</si>
  <si>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</si>
  <si>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</si>
  <si>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</si>
  <si>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</si>
  <si>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</si>
  <si>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</si>
  <si>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</si>
  <si>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</si>
  <si>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</si>
  <si>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</si>
  <si>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</si>
  <si>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</si>
  <si>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</si>
  <si>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</si>
  <si>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</si>
  <si>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</si>
  <si>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</si>
  <si>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</si>
  <si>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</si>
  <si>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</si>
  <si>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</si>
  <si>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</si>
  <si>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</si>
  <si>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</si>
  <si>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</si>
  <si>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</si>
  <si>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</si>
  <si>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</si>
  <si>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</si>
  <si>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</si>
  <si>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</si>
  <si>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</si>
  <si>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</si>
  <si>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</si>
  <si>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</si>
  <si>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</si>
  <si>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</si>
  <si>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</si>
  <si>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</si>
  <si>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</si>
  <si>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</si>
  <si>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</si>
  <si>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</si>
  <si>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</si>
  <si>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</si>
  <si>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</si>
  <si>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</si>
  <si>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</si>
  <si>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</si>
  <si>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</si>
  <si>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</si>
  <si>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</si>
  <si>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</si>
  <si>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</si>
  <si>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</si>
  <si>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</si>
  <si>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</si>
  <si>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</si>
  <si>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</si>
  <si>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</si>
  <si>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</si>
  <si>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</si>
  <si>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</si>
  <si>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</si>
  <si>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</si>
  <si>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</si>
  <si>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</si>
  <si>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</si>
  <si>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</si>
  <si>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</si>
  <si>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</si>
  <si>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</si>
  <si>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</si>
  <si>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</si>
  <si>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</si>
  <si>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</si>
  <si>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</si>
  <si>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</si>
  <si>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</si>
  <si>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</si>
  <si>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</si>
  <si>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</si>
  <si>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</si>
  <si>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</si>
  <si>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Syringe, 10ml, disposable</t>
  </si>
  <si>
    <t>Syringe, 2ml, disposable</t>
  </si>
  <si>
    <t>Syringe, 5ml, disposable</t>
  </si>
  <si>
    <t>None</t>
  </si>
  <si>
    <t>XAdson fine non-toothed dissecting forceps</t>
  </si>
  <si>
    <t>XAdrenaline 1mg/2ml</t>
  </si>
  <si>
    <t>Circumcision Surgical Tray</t>
  </si>
  <si>
    <t>Saline</t>
  </si>
  <si>
    <t>Hospital assistant</t>
  </si>
  <si>
    <t>Ward attendant</t>
  </si>
  <si>
    <t>District Hospital Administrator</t>
  </si>
  <si>
    <t>Lab assistant</t>
  </si>
  <si>
    <t>Radiographic assistant</t>
  </si>
  <si>
    <t>Health assistant</t>
  </si>
  <si>
    <t>Technical officer</t>
  </si>
  <si>
    <t>Assistant HR officer</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</si>
  <si>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</si>
  <si>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</si>
  <si>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</si>
  <si>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</si>
  <si>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</si>
  <si>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</si>
  <si>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</si>
  <si>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</si>
  <si>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</si>
  <si>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</si>
  <si>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</si>
  <si>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</si>
  <si>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</si>
  <si>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</si>
  <si>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</si>
  <si>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</si>
  <si>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</si>
  <si>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</si>
  <si>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</si>
  <si>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</si>
  <si>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</si>
  <si>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</si>
  <si>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</si>
  <si>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</si>
  <si>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</si>
  <si>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</si>
  <si>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</si>
  <si>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</si>
  <si>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</si>
  <si>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</si>
  <si>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</si>
  <si>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</si>
  <si>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</si>
  <si>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</si>
  <si>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</si>
  <si>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</si>
  <si>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</si>
  <si>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</si>
  <si>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</si>
  <si>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</si>
  <si>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</si>
  <si>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</si>
  <si>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</si>
  <si>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</si>
  <si>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</si>
  <si>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</si>
  <si>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</si>
  <si>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</si>
  <si>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</si>
  <si>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</si>
  <si>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</si>
  <si>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</si>
  <si>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</si>
  <si>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</si>
  <si>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</si>
  <si>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</si>
  <si>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</si>
  <si>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</si>
  <si>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</si>
  <si>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</si>
  <si>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</si>
  <si>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</si>
  <si>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</si>
  <si>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</si>
  <si>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</si>
  <si>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</si>
  <si>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</si>
  <si>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</si>
  <si>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</si>
  <si>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</si>
  <si>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</si>
  <si>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</si>
  <si>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</si>
  <si>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</si>
  <si>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</si>
  <si>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</si>
  <si>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</si>
  <si>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</si>
  <si>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</si>
  <si>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</si>
  <si>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</si>
  <si>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</si>
  <si>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</si>
  <si>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</si>
  <si>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</si>
  <si>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</si>
  <si>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</si>
  <si>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</si>
  <si>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</si>
  <si>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</si>
  <si>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</si>
  <si>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</si>
  <si>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</si>
  <si>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</si>
  <si>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</si>
  <si>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</si>
  <si>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</si>
  <si>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</si>
  <si>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</si>
  <si>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</si>
  <si>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</si>
  <si>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</si>
  <si>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</si>
  <si>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</si>
  <si>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</si>
  <si>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</si>
  <si>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</si>
  <si>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</si>
  <si>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</si>
  <si>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</si>
  <si>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</si>
  <si>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</si>
  <si>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</si>
  <si>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</si>
  <si>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</si>
  <si>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</si>
  <si>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</si>
  <si>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</si>
  <si>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</si>
  <si>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</si>
  <si>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</si>
  <si>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</si>
  <si>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</si>
  <si>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</si>
  <si>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</si>
  <si>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</si>
  <si>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</si>
  <si>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</si>
  <si>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</si>
  <si>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</si>
  <si>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</si>
  <si>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</si>
  <si>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</si>
  <si>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</si>
  <si>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</si>
  <si>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</si>
  <si>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</si>
  <si>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</si>
  <si>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</si>
  <si>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</si>
  <si>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</si>
  <si>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</si>
  <si>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</si>
  <si>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</si>
  <si>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</si>
  <si>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</si>
  <si>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</si>
  <si>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1</t>
  </si>
  <si>
    <t>Other 2</t>
  </si>
  <si>
    <t>Other 3</t>
  </si>
  <si>
    <t>Other 4</t>
  </si>
  <si>
    <t>Paracetamol, syrup</t>
  </si>
  <si>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</si>
  <si>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</si>
  <si>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</si>
  <si>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</si>
  <si>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</si>
  <si>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</si>
  <si>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</si>
  <si>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Drugs and Supplies</t>
    </r>
  </si>
  <si>
    <r>
      <t>Cost Inputs</t>
    </r>
    <r>
      <rPr>
        <b/>
        <sz val="10"/>
        <color indexed="12"/>
        <rFont val="Arial"/>
        <family val="2"/>
      </rPr>
      <t>—</t>
    </r>
    <r>
      <rPr>
        <b/>
        <sz val="10"/>
        <color indexed="12"/>
        <rFont val="Arial"/>
        <family val="2"/>
      </rPr>
      <t>Drugs and Supplies</t>
    </r>
  </si>
  <si>
    <r>
      <t>Direct Cost</t>
    </r>
    <r>
      <rPr>
        <b/>
        <sz val="10"/>
        <color indexed="12"/>
        <rFont val="Arial"/>
        <family val="2"/>
      </rPr>
      <t>—</t>
    </r>
    <r>
      <rPr>
        <b/>
        <sz val="10"/>
        <color indexed="12"/>
        <rFont val="Arial"/>
        <family val="2"/>
      </rPr>
      <t>Training</t>
    </r>
  </si>
  <si>
    <r>
      <t>Indirect Cost</t>
    </r>
    <r>
      <rPr>
        <b/>
        <sz val="10"/>
        <color indexed="12"/>
        <rFont val="Arial"/>
        <family val="2"/>
      </rPr>
      <t>—</t>
    </r>
    <r>
      <rPr>
        <b/>
        <sz val="10"/>
        <color indexed="12"/>
        <rFont val="Arial"/>
        <family val="2"/>
      </rPr>
      <t>Capital</t>
    </r>
  </si>
  <si>
    <r>
      <t>Indirect Cost</t>
    </r>
    <r>
      <rPr>
        <b/>
        <sz val="10"/>
        <color indexed="12"/>
        <rFont val="Arial"/>
        <family val="2"/>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</si>
  <si>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</si>
  <si>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</si>
  <si>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</si>
  <si>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</si>
  <si>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</si>
  <si>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</si>
  <si>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</si>
  <si>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</si>
  <si>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</si>
  <si>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</si>
  <si>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</si>
  <si>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</si>
  <si>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</si>
  <si>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</si>
  <si>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</si>
  <si>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</si>
  <si>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2"/>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</si>
  <si>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</si>
  <si>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</si>
  <si>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</si>
  <si>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</si>
  <si>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</si>
  <si>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</si>
  <si>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</si>
  <si>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2"/>
      </rPr>
      <t>—</t>
    </r>
    <r>
      <rPr>
        <b/>
        <sz val="14"/>
        <rFont val="Arial"/>
        <family val="2"/>
      </rPr>
      <t>Personnel</t>
    </r>
  </si>
  <si>
    <r>
      <t>Direct Costs</t>
    </r>
    <r>
      <rPr>
        <b/>
        <sz val="14"/>
        <rFont val="Arial"/>
        <family val="2"/>
      </rPr>
      <t>—</t>
    </r>
    <r>
      <rPr>
        <b/>
        <sz val="14"/>
        <rFont val="Arial"/>
        <family val="2"/>
      </rPr>
      <t>Drugs &amp; Supplies</t>
    </r>
  </si>
  <si>
    <r>
      <t>Cost Inputs</t>
    </r>
    <r>
      <rPr>
        <b/>
        <sz val="14"/>
        <rFont val="Arial"/>
        <family val="2"/>
      </rPr>
      <t>—</t>
    </r>
    <r>
      <rPr>
        <b/>
        <sz val="14"/>
        <rFont val="Arial"/>
        <family val="2"/>
      </rPr>
      <t>Drugs &amp; Supplies</t>
    </r>
  </si>
  <si>
    <r>
      <t>Indirect Cost</t>
    </r>
    <r>
      <rPr>
        <b/>
        <sz val="14"/>
        <rFont val="Arial"/>
        <family val="2"/>
      </rPr>
      <t>—</t>
    </r>
    <r>
      <rPr>
        <b/>
        <sz val="14"/>
        <rFont val="Arial"/>
        <family val="2"/>
      </rPr>
      <t>Capital</t>
    </r>
  </si>
  <si>
    <r>
      <t>Indirect Cost</t>
    </r>
    <r>
      <rPr>
        <b/>
        <sz val="14"/>
        <rFont val="Arial"/>
        <family val="2"/>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</si>
  <si>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</si>
  <si>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</si>
  <si>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</si>
  <si>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</si>
  <si>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</si>
  <si>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</si>
  <si>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</si>
  <si>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</si>
  <si>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</si>
  <si>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</si>
  <si>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</si>
  <si>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</si>
  <si>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</si>
  <si>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</si>
  <si>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</si>
  <si>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</si>
  <si>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</si>
  <si>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</si>
  <si>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</si>
  <si>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</si>
  <si>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</si>
  <si>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</si>
  <si>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</si>
  <si>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</si>
  <si>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</si>
  <si>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</si>
  <si>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</si>
  <si>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</si>
  <si>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2"/>
      </rPr>
      <t>—</t>
    </r>
    <r>
      <rPr>
        <b/>
        <sz val="14"/>
        <rFont val="Arial"/>
        <family val="2"/>
      </rPr>
      <t>Training</t>
    </r>
  </si>
  <si>
    <t>Version 1.02 March 2010</t>
  </si>
  <si>
    <t>Lab technologist</t>
  </si>
  <si>
    <t>Salary per year (local currency)</t>
  </si>
  <si>
    <t>Salary per Year (US$)</t>
  </si>
  <si>
    <t>Benefits per year (local currency)</t>
  </si>
  <si>
    <t>Benefits per Year (US$)</t>
  </si>
  <si>
    <t>Salary (incl. Benefits) per Year (in US$)</t>
  </si>
  <si>
    <t>In-Service Training (in US$)</t>
  </si>
  <si>
    <t>Salary + In-Service Training (in US$)</t>
  </si>
  <si>
    <t>Cost per Hour Worked (in US$)</t>
  </si>
  <si>
    <t>In local currency</t>
  </si>
  <si>
    <t>In US$</t>
  </si>
  <si>
    <t>Estimated construction cost/ purchasing price (local currency)</t>
  </si>
  <si>
    <t>Estimated construction cost/ purchasing price (US$)</t>
  </si>
  <si>
    <t>Costs (US$)</t>
  </si>
  <si>
    <t>Costs (local currency)</t>
  </si>
  <si>
    <t>Salary per year (US$)</t>
  </si>
  <si>
    <t>Salary (incl. Benefits) per Year (US$)</t>
  </si>
  <si>
    <t>Benefits per Year (local currency)</t>
  </si>
  <si>
    <t>Estimated cost (US$)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</si>
</sst>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6">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sz val="12"/>
      <name val="Arial"/>
      <family val="2"/>
    </font>
    <font>
      <sz val="9"/>
      <name val="Arial"/>
      <family val="2"/>
    </font>
    <font>
      <i/>
      <sz val="9"/>
      <color indexed="10"/>
      <name val="Arial"/>
      <family val="2"/>
    </font>
    <font>
      <sz val="9"/>
      <color indexed="8"/>
      <name val="Arial"/>
      <family val="2"/>
    </font>
    <font>
      <b/>
      <sz val="9"/>
      <color indexed="8"/>
      <name val="Arial"/>
      <family val="2"/>
    </font>
    <font>
      <b/>
      <sz val="9"/>
      <name val="Arial"/>
      <family val="2"/>
    </font>
    <font>
      <sz val="8"/>
      <name val="Tahoma"/>
      <family val="2"/>
    </font>
    <font>
      <b/>
      <sz val="8"/>
      <name val="Tahoma"/>
      <family val="2"/>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2"/>
    </font>
    <font>
      <i/>
      <sz val="12"/>
      <name val="Arial"/>
      <family val="2"/>
    </font>
    <font>
      <u val="single"/>
      <sz val="10"/>
      <color indexed="12"/>
      <name val="Arial"/>
      <family val="2"/>
    </font>
    <font>
      <u val="single"/>
      <sz val="10"/>
      <color indexed="36"/>
      <name val="Arial"/>
      <family val="2"/>
    </font>
    <font>
      <i/>
      <sz val="10"/>
      <color indexed="10"/>
      <name val="Arial"/>
      <family val="2"/>
    </font>
    <font>
      <sz val="10"/>
      <color indexed="10"/>
      <name val="Arial"/>
      <family val="2"/>
    </font>
    <font>
      <b/>
      <sz val="10"/>
      <color indexed="10"/>
      <name val="Arial"/>
      <family val="2"/>
    </font>
    <font>
      <b/>
      <sz val="24"/>
      <color indexed="57"/>
      <name val="Arial"/>
      <family val="2"/>
    </font>
    <font>
      <b/>
      <sz val="10"/>
      <color indexed="9"/>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color indexed="9"/>
      <name val="Arial"/>
      <family val="0"/>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3">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180" fontId="0" fillId="0" borderId="10" xfId="42" applyNumberFormat="1" applyFont="1" applyBorder="1" applyAlignment="1" applyProtection="1">
      <alignment/>
      <protection locked="0"/>
    </xf>
    <xf numFmtId="0" fontId="0" fillId="34" borderId="10" xfId="0" applyFont="1" applyFill="1" applyBorder="1" applyAlignment="1" applyProtection="1">
      <alignment horizontal="right"/>
      <protection locked="0"/>
    </xf>
    <xf numFmtId="0" fontId="0" fillId="0" borderId="10" xfId="0" applyFont="1" applyBorder="1" applyAlignment="1">
      <alignment/>
    </xf>
    <xf numFmtId="0" fontId="2" fillId="0" borderId="32" xfId="62" applyNumberFormat="1" applyFont="1" applyBorder="1">
      <alignment/>
      <protection/>
    </xf>
    <xf numFmtId="0" fontId="2" fillId="0" borderId="33" xfId="62" applyFont="1" applyBorder="1" applyAlignment="1">
      <alignment horizontal="left"/>
      <protection/>
    </xf>
    <xf numFmtId="0" fontId="2" fillId="0" borderId="33" xfId="0" applyFont="1" applyBorder="1" applyAlignment="1">
      <alignment/>
    </xf>
    <xf numFmtId="0" fontId="2" fillId="0" borderId="34" xfId="62" applyFont="1" applyBorder="1" applyAlignment="1">
      <alignment horizontal="left"/>
      <protection/>
    </xf>
    <xf numFmtId="0" fontId="0" fillId="0" borderId="20" xfId="0" applyFont="1" applyBorder="1" applyAlignment="1">
      <alignment horizontal="right"/>
    </xf>
    <xf numFmtId="0" fontId="0" fillId="0" borderId="10" xfId="0" applyFont="1" applyBorder="1" applyAlignment="1">
      <alignment horizontal="right"/>
    </xf>
    <xf numFmtId="7" fontId="0" fillId="0" borderId="10" xfId="0" applyNumberFormat="1" applyFill="1" applyBorder="1" applyAlignment="1" applyProtection="1">
      <alignment/>
      <protection locked="0"/>
    </xf>
    <xf numFmtId="168" fontId="19" fillId="0" borderId="10" xfId="57" applyNumberFormat="1" applyFont="1" applyFill="1" applyBorder="1" applyAlignment="1" applyProtection="1">
      <alignment horizontal="right"/>
      <protection locked="0"/>
    </xf>
    <xf numFmtId="44" fontId="19" fillId="34" borderId="10" xfId="44" applyFont="1" applyFill="1" applyBorder="1" applyAlignment="1" applyProtection="1">
      <alignment horizontal="center"/>
      <protection locked="0"/>
    </xf>
    <xf numFmtId="39" fontId="19" fillId="34" borderId="10" xfId="44" applyNumberFormat="1" applyFont="1" applyFill="1" applyBorder="1" applyAlignment="1" applyProtection="1">
      <alignment horizontal="center"/>
      <protection locked="0"/>
    </xf>
    <xf numFmtId="0" fontId="0" fillId="0" borderId="29" xfId="60" applyFont="1" applyFill="1" applyBorder="1" applyAlignment="1" applyProtection="1">
      <alignment horizontal="left"/>
      <protection/>
    </xf>
    <xf numFmtId="0" fontId="2" fillId="0" borderId="0" xfId="0" applyFont="1" applyAlignment="1">
      <alignment horizontal="center"/>
    </xf>
    <xf numFmtId="167" fontId="10" fillId="0" borderId="23" xfId="57" applyNumberFormat="1" applyFont="1" applyBorder="1" applyProtection="1">
      <alignment/>
      <protection/>
    </xf>
    <xf numFmtId="44" fontId="2" fillId="0" borderId="10" xfId="44" applyFont="1" applyFill="1" applyBorder="1" applyAlignment="1" applyProtection="1">
      <alignment horizontal="center"/>
      <protection/>
    </xf>
    <xf numFmtId="44" fontId="2" fillId="0" borderId="10" xfId="44" applyFont="1" applyBorder="1" applyAlignment="1" applyProtection="1">
      <alignment horizontal="center"/>
      <protection/>
    </xf>
    <xf numFmtId="0" fontId="18" fillId="0" borderId="20" xfId="61" applyFont="1" applyBorder="1" applyAlignment="1">
      <alignment horizontal="center" vertical="center" wrapText="1"/>
      <protection/>
    </xf>
    <xf numFmtId="43" fontId="7" fillId="34" borderId="10" xfId="42" applyFont="1" applyFill="1" applyBorder="1" applyAlignment="1" applyProtection="1">
      <alignment/>
      <protection locked="0"/>
    </xf>
    <xf numFmtId="5" fontId="7" fillId="0" borderId="10" xfId="61" applyNumberFormat="1" applyFont="1" applyFill="1" applyBorder="1" applyProtection="1">
      <alignment/>
      <protection locked="0"/>
    </xf>
    <xf numFmtId="0" fontId="4" fillId="0" borderId="10" xfId="61" applyFont="1" applyBorder="1" applyAlignment="1">
      <alignment horizontal="center" vertical="center" wrapText="1"/>
      <protection/>
    </xf>
    <xf numFmtId="3" fontId="2" fillId="36" borderId="10" xfId="61" applyNumberFormat="1" applyFont="1" applyFill="1" applyBorder="1" applyAlignment="1" applyProtection="1">
      <alignment horizontal="center"/>
      <protection locked="0"/>
    </xf>
    <xf numFmtId="3" fontId="2" fillId="34" borderId="10" xfId="61" applyNumberFormat="1" applyFont="1" applyFill="1" applyBorder="1" applyAlignment="1" applyProtection="1">
      <alignment horizontal="center"/>
      <protection locked="0"/>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5" xfId="57" applyFont="1" applyBorder="1" applyAlignment="1">
      <alignment horizontal="center"/>
      <protection/>
    </xf>
    <xf numFmtId="0" fontId="0" fillId="0" borderId="24" xfId="0" applyBorder="1" applyAlignment="1">
      <alignment/>
    </xf>
    <xf numFmtId="0" fontId="0" fillId="0" borderId="20" xfId="0" applyBorder="1" applyAlignment="1">
      <alignment/>
    </xf>
    <xf numFmtId="0" fontId="0" fillId="0" borderId="0"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40</xdr:row>
      <xdr:rowOff>0</xdr:rowOff>
    </xdr:from>
    <xdr:to>
      <xdr:col>12</xdr:col>
      <xdr:colOff>0</xdr:colOff>
      <xdr:row>40</xdr:row>
      <xdr:rowOff>0</xdr:rowOff>
    </xdr:to>
    <xdr:sp>
      <xdr:nvSpPr>
        <xdr:cNvPr id="1" name="Text 1"/>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12</xdr:col>
      <xdr:colOff>0</xdr:colOff>
      <xdr:row>40</xdr:row>
      <xdr:rowOff>0</xdr:rowOff>
    </xdr:from>
    <xdr:to>
      <xdr:col>12</xdr:col>
      <xdr:colOff>0</xdr:colOff>
      <xdr:row>40</xdr:row>
      <xdr:rowOff>0</xdr:rowOff>
    </xdr:to>
    <xdr:sp>
      <xdr:nvSpPr>
        <xdr:cNvPr id="2" name="Text 2"/>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867027" y="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867027"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905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668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45</xdr:row>
      <xdr:rowOff>161925</xdr:rowOff>
    </xdr:from>
    <xdr:to>
      <xdr:col>20</xdr:col>
      <xdr:colOff>561975</xdr:colOff>
      <xdr:row>46</xdr:row>
      <xdr:rowOff>0</xdr:rowOff>
    </xdr:to>
    <xdr:sp>
      <xdr:nvSpPr>
        <xdr:cNvPr id="6"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27</xdr:row>
      <xdr:rowOff>161925</xdr:rowOff>
    </xdr:from>
    <xdr:to>
      <xdr:col>20</xdr:col>
      <xdr:colOff>561975</xdr:colOff>
      <xdr:row>28</xdr:row>
      <xdr:rowOff>0</xdr:rowOff>
    </xdr:to>
    <xdr:sp>
      <xdr:nvSpPr>
        <xdr:cNvPr id="7"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zoomScalePageLayoutView="0" workbookViewId="0" topLeftCell="A1">
      <selection activeCell="E1" sqref="E1"/>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712" t="s">
        <v>343</v>
      </c>
      <c r="C1" s="712"/>
      <c r="D1" s="712"/>
    </row>
    <row r="2" ht="12.75">
      <c r="D2" s="636" t="s">
        <v>331</v>
      </c>
    </row>
    <row r="3" spans="2:4" ht="12.75" customHeight="1">
      <c r="B3" s="632" t="s">
        <v>337</v>
      </c>
      <c r="D3" s="713" t="s">
        <v>356</v>
      </c>
    </row>
    <row r="4" spans="2:4" ht="12.75">
      <c r="B4" s="669" t="s">
        <v>101</v>
      </c>
      <c r="D4" s="713"/>
    </row>
    <row r="5" spans="2:4" ht="12.75">
      <c r="B5" s="669" t="s">
        <v>104</v>
      </c>
      <c r="D5" s="713"/>
    </row>
    <row r="6" spans="2:4" ht="12.75">
      <c r="B6" s="670" t="s">
        <v>341</v>
      </c>
      <c r="D6" s="713"/>
    </row>
    <row r="7" spans="2:4" ht="12.75">
      <c r="B7" s="632" t="s">
        <v>344</v>
      </c>
      <c r="D7" s="714"/>
    </row>
    <row r="8" spans="2:4" ht="12.75">
      <c r="B8" s="670" t="s">
        <v>361</v>
      </c>
      <c r="D8" s="714"/>
    </row>
    <row r="9" spans="2:4" ht="12.75">
      <c r="B9" s="670" t="s">
        <v>362</v>
      </c>
      <c r="D9" s="637"/>
    </row>
    <row r="10" spans="2:4" ht="12.75">
      <c r="B10" s="632" t="s">
        <v>345</v>
      </c>
      <c r="D10" s="637" t="s">
        <v>357</v>
      </c>
    </row>
    <row r="11" spans="2:4" ht="12.75">
      <c r="B11" s="670" t="s">
        <v>363</v>
      </c>
      <c r="D11" s="637" t="s">
        <v>332</v>
      </c>
    </row>
    <row r="12" spans="2:4" ht="12.75">
      <c r="B12" s="670" t="s">
        <v>364</v>
      </c>
      <c r="D12" s="637" t="s">
        <v>358</v>
      </c>
    </row>
    <row r="13" spans="2:4" ht="12.75">
      <c r="B13" s="632" t="s">
        <v>346</v>
      </c>
      <c r="D13" s="638" t="s">
        <v>333</v>
      </c>
    </row>
    <row r="14" spans="2:4" ht="12.75">
      <c r="B14" s="670" t="s">
        <v>365</v>
      </c>
      <c r="D14" s="637" t="s">
        <v>334</v>
      </c>
    </row>
    <row r="15" spans="2:4" ht="25.5">
      <c r="B15" s="684" t="s">
        <v>360</v>
      </c>
      <c r="D15" s="637" t="s">
        <v>359</v>
      </c>
    </row>
    <row r="16" spans="2:4" ht="12.75">
      <c r="B16" s="670" t="s">
        <v>347</v>
      </c>
      <c r="D16" s="638" t="s">
        <v>335</v>
      </c>
    </row>
    <row r="17" spans="2:4" ht="12.75">
      <c r="B17" s="632" t="s">
        <v>348</v>
      </c>
      <c r="D17" s="638"/>
    </row>
    <row r="18" spans="2:4" ht="12.75">
      <c r="B18" s="671" t="s">
        <v>366</v>
      </c>
      <c r="D18" s="715" t="s">
        <v>368</v>
      </c>
    </row>
    <row r="19" spans="2:4" ht="12.75">
      <c r="B19" s="670" t="s">
        <v>367</v>
      </c>
      <c r="D19" s="716"/>
    </row>
    <row r="20" spans="2:4" ht="12.75">
      <c r="B20" s="632" t="s">
        <v>349</v>
      </c>
      <c r="D20" s="717"/>
    </row>
    <row r="21" spans="2:4" ht="12.75">
      <c r="B21" s="670" t="s">
        <v>350</v>
      </c>
      <c r="D21" s="717"/>
    </row>
    <row r="22" spans="2:4" ht="12.75">
      <c r="B22" s="670"/>
      <c r="D22" s="638"/>
    </row>
    <row r="23" ht="12.75">
      <c r="D23" s="638" t="s">
        <v>382</v>
      </c>
    </row>
    <row r="24" ht="12.75">
      <c r="D24" s="638" t="s">
        <v>369</v>
      </c>
    </row>
    <row r="25" ht="12.75">
      <c r="D25" s="638" t="s">
        <v>370</v>
      </c>
    </row>
    <row r="26" ht="12.75">
      <c r="D26" s="638" t="s">
        <v>371</v>
      </c>
    </row>
    <row r="27" ht="12.75">
      <c r="D27" s="638" t="s">
        <v>372</v>
      </c>
    </row>
    <row r="28" ht="12.75">
      <c r="D28" s="638" t="s">
        <v>373</v>
      </c>
    </row>
    <row r="29" ht="12.75">
      <c r="D29" s="638" t="s">
        <v>374</v>
      </c>
    </row>
    <row r="30" ht="12.75">
      <c r="D30" s="685" t="s">
        <v>375</v>
      </c>
    </row>
    <row r="31" ht="12.75">
      <c r="D31" s="685" t="s">
        <v>376</v>
      </c>
    </row>
    <row r="32" ht="12.75">
      <c r="D32" s="686"/>
    </row>
    <row r="33" ht="12.75">
      <c r="D33" s="686" t="s">
        <v>377</v>
      </c>
    </row>
    <row r="34" ht="12.75">
      <c r="D34" s="686" t="s">
        <v>378</v>
      </c>
    </row>
    <row r="35" ht="12.75">
      <c r="D35" s="686" t="s">
        <v>379</v>
      </c>
    </row>
    <row r="36" ht="12.75">
      <c r="D36" s="686" t="s">
        <v>380</v>
      </c>
    </row>
    <row r="37" ht="12.75">
      <c r="D37" s="685" t="s">
        <v>381</v>
      </c>
    </row>
    <row r="38" ht="12.75">
      <c r="D38" s="687"/>
    </row>
    <row r="41" ht="12.75">
      <c r="D41" s="631" t="s">
        <v>336</v>
      </c>
    </row>
    <row r="42" ht="12.75">
      <c r="D42" s="631" t="s">
        <v>426</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6.140625" style="0" customWidth="1"/>
    <col min="5" max="5" width="12.140625" style="0" customWidth="1"/>
  </cols>
  <sheetData>
    <row r="1" spans="1:56" s="65" customFormat="1" ht="18">
      <c r="A1" s="386"/>
      <c r="B1" s="679" t="s">
        <v>347</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row>
    <row r="2" spans="2:56"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row>
    <row r="3" spans="2:22" s="12" customFormat="1" ht="12.75" customHeight="1">
      <c r="B3" s="720" t="s">
        <v>282</v>
      </c>
      <c r="C3" s="720"/>
      <c r="D3" s="407"/>
      <c r="E3" s="13"/>
      <c r="F3" s="10"/>
      <c r="G3" s="10"/>
      <c r="H3" s="10"/>
      <c r="I3" s="10"/>
      <c r="J3" s="10"/>
      <c r="K3" s="11"/>
      <c r="L3" s="11"/>
      <c r="M3" s="11"/>
      <c r="N3" s="11"/>
      <c r="O3" s="11"/>
      <c r="P3" s="11"/>
      <c r="Q3" s="11"/>
      <c r="R3" s="11"/>
      <c r="S3" s="11"/>
      <c r="T3" s="11"/>
      <c r="U3" s="11"/>
      <c r="V3" s="11"/>
    </row>
    <row r="4" spans="4:5" ht="12.75">
      <c r="D4" s="696" t="s">
        <v>436</v>
      </c>
      <c r="E4" s="695" t="s">
        <v>437</v>
      </c>
    </row>
    <row r="5" spans="2:5" ht="12.75">
      <c r="B5" s="419" t="s">
        <v>409</v>
      </c>
      <c r="C5" s="697">
        <f>IF(D5&gt;0,D5/Exchange_rate,E5)</f>
        <v>273.22404371584696</v>
      </c>
      <c r="D5" s="626">
        <v>0</v>
      </c>
      <c r="E5" s="626">
        <v>273.22404371584696</v>
      </c>
    </row>
    <row r="6" spans="2:5" ht="12.75">
      <c r="B6" s="419" t="s">
        <v>410</v>
      </c>
      <c r="C6" s="697">
        <f>IF(D6&gt;0,D6/Exchange_rate,E6)</f>
        <v>0.4098360655737705</v>
      </c>
      <c r="D6" s="626">
        <v>0</v>
      </c>
      <c r="E6" s="626">
        <v>0.4098360655737705</v>
      </c>
    </row>
    <row r="7" spans="2:3" ht="12.75">
      <c r="B7" s="419" t="s">
        <v>323</v>
      </c>
      <c r="C7" s="627">
        <v>10000</v>
      </c>
    </row>
    <row r="8" spans="2:3" ht="12.75">
      <c r="B8" s="421" t="s">
        <v>411</v>
      </c>
      <c r="C8" s="422">
        <f>C5+(C6*C7)</f>
        <v>4371.584699453552</v>
      </c>
    </row>
    <row r="9" spans="2:5" ht="12.75">
      <c r="B9" s="419" t="s">
        <v>414</v>
      </c>
      <c r="C9" s="697">
        <f>IF(D9&gt;0,D9/Exchange_rate,E9)</f>
        <v>6830.601092896175</v>
      </c>
      <c r="D9" s="626">
        <v>0</v>
      </c>
      <c r="E9" s="626">
        <v>6830.601092896175</v>
      </c>
    </row>
    <row r="10" spans="2:3" ht="12.75">
      <c r="B10" s="419" t="s">
        <v>327</v>
      </c>
      <c r="C10" s="627">
        <v>2</v>
      </c>
    </row>
    <row r="11" spans="2:3" ht="12.75">
      <c r="B11" s="421" t="s">
        <v>413</v>
      </c>
      <c r="C11" s="422">
        <f>C9*C10</f>
        <v>13661.20218579235</v>
      </c>
    </row>
    <row r="12" spans="2:5" ht="12.75">
      <c r="B12" s="419" t="s">
        <v>415</v>
      </c>
      <c r="C12" s="697">
        <f>IF(D12&gt;0,D12/Exchange_rate,E12)</f>
        <v>10000</v>
      </c>
      <c r="D12" s="626">
        <v>0</v>
      </c>
      <c r="E12" s="626">
        <v>10000</v>
      </c>
    </row>
    <row r="13" spans="2:5" ht="12.75">
      <c r="B13" s="419" t="s">
        <v>416</v>
      </c>
      <c r="C13" s="697">
        <f>IF(D13&gt;0,D13/Exchange_rate,E13)</f>
        <v>95.90163934426229</v>
      </c>
      <c r="D13" s="626">
        <v>0</v>
      </c>
      <c r="E13" s="626">
        <v>95.90163934426229</v>
      </c>
    </row>
    <row r="14" spans="2:3" ht="12.75">
      <c r="B14" s="419" t="s">
        <v>324</v>
      </c>
      <c r="C14" s="627">
        <v>0</v>
      </c>
    </row>
    <row r="15" spans="2:3" ht="12.75">
      <c r="B15" s="421" t="s">
        <v>412</v>
      </c>
      <c r="C15" s="422">
        <f>IF(C14&gt;0,C12+(C13*C14),0)</f>
        <v>0</v>
      </c>
    </row>
    <row r="16" spans="2:5" ht="12.75">
      <c r="B16" s="419" t="s">
        <v>253</v>
      </c>
      <c r="C16" s="697">
        <f>IF(D16&gt;0,D16/Exchange_rate,E16)</f>
        <v>185.10928961748633</v>
      </c>
      <c r="D16" s="626">
        <v>0</v>
      </c>
      <c r="E16" s="626">
        <v>185.10928961748633</v>
      </c>
    </row>
    <row r="17" spans="2:3" ht="12.75">
      <c r="B17" s="419" t="s">
        <v>328</v>
      </c>
      <c r="C17" s="627">
        <v>4</v>
      </c>
    </row>
    <row r="18" spans="2:3" ht="12.75">
      <c r="B18" s="421" t="s">
        <v>419</v>
      </c>
      <c r="C18" s="422">
        <f>C16*C17</f>
        <v>740.4371584699453</v>
      </c>
    </row>
    <row r="19" spans="2:5" ht="12.75">
      <c r="B19" s="419" t="s">
        <v>254</v>
      </c>
      <c r="C19" s="697">
        <f>IF(D19&gt;0,D19/Exchange_rate,E19)</f>
        <v>27.3224043715847</v>
      </c>
      <c r="D19" s="626">
        <v>0</v>
      </c>
      <c r="E19" s="626">
        <v>27.3224043715847</v>
      </c>
    </row>
    <row r="20" spans="2:5" ht="12.75">
      <c r="B20" s="419" t="s">
        <v>417</v>
      </c>
      <c r="C20" s="697">
        <f>IF(D20&gt;0,D20/Exchange_rate,E20)</f>
        <v>32.240437158469945</v>
      </c>
      <c r="D20" s="626">
        <v>0</v>
      </c>
      <c r="E20" s="626">
        <v>32.240437158469945</v>
      </c>
    </row>
    <row r="21" spans="2:3" ht="12.75">
      <c r="B21" s="419" t="s">
        <v>326</v>
      </c>
      <c r="C21" s="627">
        <v>50</v>
      </c>
    </row>
    <row r="22" spans="2:3" ht="12.75">
      <c r="B22" s="421" t="s">
        <v>420</v>
      </c>
      <c r="C22" s="422">
        <f>IF(C21&gt;0,C19+(C20*C21),0)</f>
        <v>1639.344262295082</v>
      </c>
    </row>
    <row r="23" spans="2:5" ht="12.75">
      <c r="B23" s="419" t="s">
        <v>418</v>
      </c>
      <c r="C23" s="697">
        <f>IF(D23&gt;0,D23/Exchange_rate,E23)</f>
        <v>3.1420765027322406</v>
      </c>
      <c r="D23" s="629">
        <v>0</v>
      </c>
      <c r="E23" s="626">
        <v>3.1420765027322406</v>
      </c>
    </row>
    <row r="24" spans="2:3" ht="12.75">
      <c r="B24" s="419" t="s">
        <v>325</v>
      </c>
      <c r="C24" s="627">
        <v>50</v>
      </c>
    </row>
    <row r="25" spans="2:3" ht="12.75">
      <c r="B25" s="421" t="s">
        <v>421</v>
      </c>
      <c r="C25" s="422">
        <f>C23*C24</f>
        <v>157.10382513661202</v>
      </c>
    </row>
    <row r="26" spans="2:3" ht="12.75">
      <c r="B26" s="436" t="s">
        <v>162</v>
      </c>
      <c r="C26" s="681">
        <f>C8+C11+C15+C18+C22+C25</f>
        <v>20569.67213114754</v>
      </c>
    </row>
    <row r="27" ht="12.75">
      <c r="C27" s="702" t="s">
        <v>437</v>
      </c>
    </row>
    <row r="28" spans="2:3" ht="12.75" hidden="1">
      <c r="B28" s="352" t="s">
        <v>329</v>
      </c>
      <c r="C28" s="366">
        <f>Adult_Clients_MC</f>
        <v>260</v>
      </c>
    </row>
    <row r="29" spans="2:3" ht="12.75" hidden="1">
      <c r="B29" s="352" t="s">
        <v>330</v>
      </c>
      <c r="C29" s="423">
        <f>C26/C28</f>
        <v>79.1141235813367</v>
      </c>
    </row>
  </sheetData>
  <sheetProtection/>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C36"/>
  <sheetViews>
    <sheetView showGridLines="0" zoomScalePageLayoutView="0" workbookViewId="0" topLeftCell="A1">
      <selection activeCell="F6" sqref="F6"/>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3.8515625" style="6" customWidth="1"/>
    <col min="6" max="6" width="13.7109375" style="6" customWidth="1"/>
    <col min="7" max="7" width="14.28125" style="6" customWidth="1"/>
    <col min="8" max="8" width="14.140625" style="6" customWidth="1"/>
    <col min="9" max="9" width="11.421875" style="6" customWidth="1"/>
    <col min="10" max="10" width="14.28125" style="6" hidden="1" customWidth="1"/>
    <col min="11" max="11" width="14.140625" style="6" hidden="1" customWidth="1"/>
    <col min="12" max="12" width="11.421875" style="6" hidden="1" customWidth="1"/>
    <col min="13" max="13" width="9.7109375" style="51" customWidth="1"/>
    <col min="14" max="14" width="10.7109375" style="51" customWidth="1"/>
    <col min="15" max="16384" width="9.140625" style="51" customWidth="1"/>
  </cols>
  <sheetData>
    <row r="1" spans="1:55" s="313" customFormat="1" ht="18">
      <c r="A1" s="649"/>
      <c r="B1" s="672" t="s">
        <v>395</v>
      </c>
      <c r="C1" s="680" t="s">
        <v>107</v>
      </c>
      <c r="D1" s="680"/>
      <c r="E1" s="680"/>
      <c r="F1" s="680"/>
      <c r="G1" s="680"/>
      <c r="H1" s="718" t="s">
        <v>342</v>
      </c>
      <c r="I1" s="719"/>
      <c r="J1" s="719"/>
      <c r="K1" s="1"/>
      <c r="L1" s="1"/>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row>
    <row r="2" spans="2:55" ht="12.75">
      <c r="B2" s="721" t="s">
        <v>106</v>
      </c>
      <c r="C2" s="721"/>
      <c r="D2" s="721"/>
      <c r="E2" s="721"/>
      <c r="F2" s="721"/>
      <c r="G2" s="719"/>
      <c r="H2" s="2"/>
      <c r="I2" s="2"/>
      <c r="J2" s="2" t="s">
        <v>0</v>
      </c>
      <c r="K2" s="2"/>
      <c r="L2" s="2"/>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row>
    <row r="3" spans="2:12" ht="12.75">
      <c r="B3" s="725" t="s">
        <v>282</v>
      </c>
      <c r="C3" s="725"/>
      <c r="D3" s="725"/>
      <c r="E3" s="725"/>
      <c r="F3" s="725"/>
      <c r="G3" s="729"/>
      <c r="H3" s="51"/>
      <c r="I3" s="368"/>
      <c r="J3" s="2"/>
      <c r="K3" s="2"/>
      <c r="L3" s="2"/>
    </row>
    <row r="4" spans="2:12" ht="12.75">
      <c r="B4" s="413"/>
      <c r="C4" s="413"/>
      <c r="D4" s="412"/>
      <c r="E4" s="701"/>
      <c r="F4" s="701"/>
      <c r="G4" s="726" t="s">
        <v>1</v>
      </c>
      <c r="H4" s="727"/>
      <c r="I4" s="728"/>
      <c r="J4" s="2"/>
      <c r="K4" s="2"/>
      <c r="L4" s="2"/>
    </row>
    <row r="5" spans="2:12" s="60" customFormat="1" ht="60">
      <c r="B5" s="71" t="s">
        <v>2</v>
      </c>
      <c r="C5" s="68" t="s">
        <v>3</v>
      </c>
      <c r="D5" s="69" t="s">
        <v>4</v>
      </c>
      <c r="E5" s="68" t="s">
        <v>438</v>
      </c>
      <c r="F5" s="68" t="s">
        <v>439</v>
      </c>
      <c r="G5" s="68" t="s">
        <v>439</v>
      </c>
      <c r="H5" s="68" t="s">
        <v>14</v>
      </c>
      <c r="I5" s="70" t="s">
        <v>7</v>
      </c>
      <c r="J5" s="52" t="s">
        <v>5</v>
      </c>
      <c r="K5" s="53" t="s">
        <v>14</v>
      </c>
      <c r="L5" s="52" t="s">
        <v>7</v>
      </c>
    </row>
    <row r="6" spans="2:12" ht="12.75">
      <c r="B6" s="408" t="s">
        <v>94</v>
      </c>
      <c r="C6" s="625">
        <v>7</v>
      </c>
      <c r="D6" s="409"/>
      <c r="E6" s="700"/>
      <c r="F6" s="699">
        <v>15573.770491803278</v>
      </c>
      <c r="G6" s="698">
        <f aca="true" t="shared" si="0" ref="G6:G24">IF(E6&gt;0,E6/Exchange_rate,F6)</f>
        <v>15573.770491803278</v>
      </c>
      <c r="H6" s="410">
        <f aca="true" t="shared" si="1" ref="H6:H24">Hospital_circumcision_share</f>
        <v>0.002342895876795724</v>
      </c>
      <c r="I6" s="411">
        <f>G6*H6/$C6</f>
        <v>5.212531810201258</v>
      </c>
      <c r="J6" s="54">
        <v>0</v>
      </c>
      <c r="K6" s="3" t="e">
        <f aca="true" t="shared" si="2" ref="K6:K15">HC_MC_Share</f>
        <v>#NAME?</v>
      </c>
      <c r="L6" s="55" t="e">
        <f aca="true" t="shared" si="3" ref="L6:L15">J6*K6/$C6</f>
        <v>#NAME?</v>
      </c>
    </row>
    <row r="7" spans="2:12" ht="12.75">
      <c r="B7" s="408" t="s">
        <v>216</v>
      </c>
      <c r="C7" s="625">
        <v>7</v>
      </c>
      <c r="D7" s="409"/>
      <c r="E7" s="700"/>
      <c r="F7" s="699">
        <v>204918.03278688525</v>
      </c>
      <c r="G7" s="698">
        <f t="shared" si="0"/>
        <v>204918.03278688525</v>
      </c>
      <c r="H7" s="410">
        <f t="shared" si="1"/>
        <v>0.002342895876795724</v>
      </c>
      <c r="I7" s="411">
        <f>G7*H7/$C7</f>
        <v>68.5859448710692</v>
      </c>
      <c r="J7" s="54">
        <v>0</v>
      </c>
      <c r="K7" s="3" t="e">
        <f t="shared" si="2"/>
        <v>#NAME?</v>
      </c>
      <c r="L7" s="55" t="e">
        <f t="shared" si="3"/>
        <v>#NAME?</v>
      </c>
    </row>
    <row r="8" spans="2:12" ht="12.75">
      <c r="B8" s="408" t="s">
        <v>12</v>
      </c>
      <c r="C8" s="625">
        <v>2</v>
      </c>
      <c r="D8" s="409"/>
      <c r="E8" s="700"/>
      <c r="F8" s="699"/>
      <c r="G8" s="698">
        <f t="shared" si="0"/>
        <v>0</v>
      </c>
      <c r="H8" s="410">
        <f t="shared" si="1"/>
        <v>0.002342895876795724</v>
      </c>
      <c r="I8" s="411">
        <f aca="true" t="shared" si="4" ref="I8:I24">G8*H8/$C8</f>
        <v>0</v>
      </c>
      <c r="J8" s="54">
        <v>0</v>
      </c>
      <c r="K8" s="3" t="e">
        <f t="shared" si="2"/>
        <v>#NAME?</v>
      </c>
      <c r="L8" s="55" t="e">
        <f t="shared" si="3"/>
        <v>#NAME?</v>
      </c>
    </row>
    <row r="9" spans="2:12" ht="12.75">
      <c r="B9" s="408" t="s">
        <v>217</v>
      </c>
      <c r="C9" s="625">
        <v>7</v>
      </c>
      <c r="D9" s="409"/>
      <c r="E9" s="700"/>
      <c r="F9" s="699"/>
      <c r="G9" s="698">
        <f t="shared" si="0"/>
        <v>0</v>
      </c>
      <c r="H9" s="410">
        <f t="shared" si="1"/>
        <v>0.002342895876795724</v>
      </c>
      <c r="I9" s="411">
        <f t="shared" si="4"/>
        <v>0</v>
      </c>
      <c r="J9" s="54"/>
      <c r="K9" s="3"/>
      <c r="L9" s="55"/>
    </row>
    <row r="10" spans="2:12" ht="12.75">
      <c r="B10" s="408" t="s">
        <v>11</v>
      </c>
      <c r="C10" s="625">
        <v>5</v>
      </c>
      <c r="D10" s="409"/>
      <c r="E10" s="700"/>
      <c r="F10" s="699">
        <v>533140.9836065574</v>
      </c>
      <c r="G10" s="698">
        <f t="shared" si="0"/>
        <v>533140.9836065574</v>
      </c>
      <c r="H10" s="410">
        <f t="shared" si="1"/>
        <v>0.002342895876795724</v>
      </c>
      <c r="I10" s="411">
        <f t="shared" si="4"/>
        <v>249.81876244852396</v>
      </c>
      <c r="J10" s="54">
        <v>0</v>
      </c>
      <c r="K10" s="3" t="e">
        <f t="shared" si="2"/>
        <v>#NAME?</v>
      </c>
      <c r="L10" s="55" t="e">
        <f t="shared" si="3"/>
        <v>#NAME?</v>
      </c>
    </row>
    <row r="11" spans="2:12" ht="12.75">
      <c r="B11" s="408" t="s">
        <v>8</v>
      </c>
      <c r="C11" s="625">
        <v>25</v>
      </c>
      <c r="D11" s="409"/>
      <c r="E11" s="700"/>
      <c r="F11" s="699">
        <v>1000000</v>
      </c>
      <c r="G11" s="698">
        <f t="shared" si="0"/>
        <v>1000000</v>
      </c>
      <c r="H11" s="410">
        <f t="shared" si="1"/>
        <v>0.002342895876795724</v>
      </c>
      <c r="I11" s="411">
        <f t="shared" si="4"/>
        <v>93.71583507182895</v>
      </c>
      <c r="J11" s="54">
        <v>0</v>
      </c>
      <c r="K11" s="3" t="e">
        <f t="shared" si="2"/>
        <v>#NAME?</v>
      </c>
      <c r="L11" s="55" t="e">
        <f t="shared" si="3"/>
        <v>#NAME?</v>
      </c>
    </row>
    <row r="12" spans="2:12" ht="12.75">
      <c r="B12" s="408" t="s">
        <v>218</v>
      </c>
      <c r="C12" s="625">
        <v>7</v>
      </c>
      <c r="D12" s="409"/>
      <c r="E12" s="700"/>
      <c r="F12" s="699"/>
      <c r="G12" s="698">
        <f t="shared" si="0"/>
        <v>0</v>
      </c>
      <c r="H12" s="410">
        <f t="shared" si="1"/>
        <v>0.002342895876795724</v>
      </c>
      <c r="I12" s="411">
        <f t="shared" si="4"/>
        <v>0</v>
      </c>
      <c r="J12" s="54">
        <v>0</v>
      </c>
      <c r="K12" s="3" t="e">
        <f t="shared" si="2"/>
        <v>#NAME?</v>
      </c>
      <c r="L12" s="55" t="e">
        <f t="shared" si="3"/>
        <v>#NAME?</v>
      </c>
    </row>
    <row r="13" spans="2:12" ht="12.75">
      <c r="B13" s="408" t="s">
        <v>219</v>
      </c>
      <c r="C13" s="625">
        <v>7</v>
      </c>
      <c r="D13" s="409"/>
      <c r="E13" s="700"/>
      <c r="F13" s="699">
        <v>161351.50273224042</v>
      </c>
      <c r="G13" s="698">
        <f t="shared" si="0"/>
        <v>161351.50273224042</v>
      </c>
      <c r="H13" s="410">
        <f t="shared" si="1"/>
        <v>0.002342895876795724</v>
      </c>
      <c r="I13" s="411">
        <f t="shared" si="4"/>
        <v>54.004252923737155</v>
      </c>
      <c r="J13" s="54"/>
      <c r="K13" s="3"/>
      <c r="L13" s="55"/>
    </row>
    <row r="14" spans="2:12" ht="12.75">
      <c r="B14" s="408" t="s">
        <v>220</v>
      </c>
      <c r="C14" s="625">
        <v>7</v>
      </c>
      <c r="D14" s="409"/>
      <c r="E14" s="700"/>
      <c r="F14" s="699"/>
      <c r="G14" s="698">
        <f t="shared" si="0"/>
        <v>0</v>
      </c>
      <c r="H14" s="410">
        <f t="shared" si="1"/>
        <v>0.002342895876795724</v>
      </c>
      <c r="I14" s="411">
        <f t="shared" si="4"/>
        <v>0</v>
      </c>
      <c r="J14" s="54"/>
      <c r="K14" s="3"/>
      <c r="L14" s="55"/>
    </row>
    <row r="15" spans="2:12" ht="12.75">
      <c r="B15" s="408" t="s">
        <v>13</v>
      </c>
      <c r="C15" s="625">
        <v>7</v>
      </c>
      <c r="D15" s="409"/>
      <c r="E15" s="700"/>
      <c r="F15" s="699">
        <v>52918.852459016394</v>
      </c>
      <c r="G15" s="698">
        <f t="shared" si="0"/>
        <v>52918.852459016394</v>
      </c>
      <c r="H15" s="410">
        <f t="shared" si="1"/>
        <v>0.002342895876795724</v>
      </c>
      <c r="I15" s="411">
        <f t="shared" si="4"/>
        <v>17.711908747284394</v>
      </c>
      <c r="J15" s="54">
        <v>0</v>
      </c>
      <c r="K15" s="3" t="e">
        <f t="shared" si="2"/>
        <v>#NAME?</v>
      </c>
      <c r="L15" s="55" t="e">
        <f t="shared" si="3"/>
        <v>#NAME?</v>
      </c>
    </row>
    <row r="16" spans="2:9" ht="12.75">
      <c r="B16" s="408" t="s">
        <v>221</v>
      </c>
      <c r="C16" s="625">
        <v>7</v>
      </c>
      <c r="D16" s="409"/>
      <c r="E16" s="700"/>
      <c r="F16" s="699"/>
      <c r="G16" s="698">
        <f t="shared" si="0"/>
        <v>0</v>
      </c>
      <c r="H16" s="410">
        <f t="shared" si="1"/>
        <v>0.002342895876795724</v>
      </c>
      <c r="I16" s="411">
        <f t="shared" si="4"/>
        <v>0</v>
      </c>
    </row>
    <row r="17" spans="2:9" ht="12.75">
      <c r="B17" s="408" t="s">
        <v>222</v>
      </c>
      <c r="C17" s="625">
        <v>7</v>
      </c>
      <c r="D17" s="409"/>
      <c r="E17" s="700"/>
      <c r="F17" s="699"/>
      <c r="G17" s="698">
        <f t="shared" si="0"/>
        <v>0</v>
      </c>
      <c r="H17" s="410">
        <f t="shared" si="1"/>
        <v>0.002342895876795724</v>
      </c>
      <c r="I17" s="411">
        <f t="shared" si="4"/>
        <v>0</v>
      </c>
    </row>
    <row r="18" spans="2:9" ht="15.75" customHeight="1">
      <c r="B18" s="408" t="s">
        <v>223</v>
      </c>
      <c r="C18" s="625">
        <v>7</v>
      </c>
      <c r="D18" s="409"/>
      <c r="E18" s="700"/>
      <c r="F18" s="699"/>
      <c r="G18" s="698">
        <f t="shared" si="0"/>
        <v>0</v>
      </c>
      <c r="H18" s="410">
        <f t="shared" si="1"/>
        <v>0.002342895876795724</v>
      </c>
      <c r="I18" s="411">
        <f t="shared" si="4"/>
        <v>0</v>
      </c>
    </row>
    <row r="19" spans="2:11" ht="15.75" customHeight="1">
      <c r="B19" s="408" t="s">
        <v>9</v>
      </c>
      <c r="C19" s="625">
        <v>7</v>
      </c>
      <c r="D19" s="409"/>
      <c r="E19" s="700"/>
      <c r="F19" s="699">
        <v>13251.36612021858</v>
      </c>
      <c r="G19" s="698">
        <f t="shared" si="0"/>
        <v>13251.36612021858</v>
      </c>
      <c r="H19" s="410">
        <f t="shared" si="1"/>
        <v>0.002342895876795724</v>
      </c>
      <c r="I19" s="411">
        <f t="shared" si="4"/>
        <v>4.435224434995808</v>
      </c>
      <c r="J19" s="4"/>
      <c r="K19" s="5"/>
    </row>
    <row r="20" spans="2:11" ht="15.75" customHeight="1">
      <c r="B20" s="408" t="s">
        <v>95</v>
      </c>
      <c r="C20" s="625">
        <v>5</v>
      </c>
      <c r="D20" s="409"/>
      <c r="E20" s="700"/>
      <c r="F20" s="699">
        <v>38073.770491803276</v>
      </c>
      <c r="G20" s="698">
        <f t="shared" si="0"/>
        <v>38073.770491803276</v>
      </c>
      <c r="H20" s="410">
        <f t="shared" si="1"/>
        <v>0.002342895876795724</v>
      </c>
      <c r="I20" s="411">
        <f t="shared" si="4"/>
        <v>17.840575979862518</v>
      </c>
      <c r="J20" s="4"/>
      <c r="K20" s="5"/>
    </row>
    <row r="21" spans="2:11" ht="15.75" customHeight="1">
      <c r="B21" s="408" t="s">
        <v>97</v>
      </c>
      <c r="C21" s="625">
        <v>5</v>
      </c>
      <c r="D21" s="409"/>
      <c r="E21" s="700"/>
      <c r="F21" s="699">
        <v>30697</v>
      </c>
      <c r="G21" s="698">
        <f t="shared" si="0"/>
        <v>30697</v>
      </c>
      <c r="H21" s="410">
        <f t="shared" si="1"/>
        <v>0.002342895876795724</v>
      </c>
      <c r="I21" s="411">
        <f t="shared" si="4"/>
        <v>14.383974945999668</v>
      </c>
      <c r="J21" s="4"/>
      <c r="K21" s="5"/>
    </row>
    <row r="22" spans="2:11" ht="15.75" customHeight="1">
      <c r="B22" s="408" t="s">
        <v>239</v>
      </c>
      <c r="C22" s="625">
        <v>5</v>
      </c>
      <c r="D22" s="409"/>
      <c r="E22" s="700"/>
      <c r="F22" s="699">
        <v>8196.72131147541</v>
      </c>
      <c r="G22" s="698">
        <f t="shared" si="0"/>
        <v>8196.72131147541</v>
      </c>
      <c r="H22" s="410">
        <f t="shared" si="1"/>
        <v>0.002342895876795724</v>
      </c>
      <c r="I22" s="411">
        <f>G22*H22/$C22</f>
        <v>3.840812912779876</v>
      </c>
      <c r="J22" s="4"/>
      <c r="K22" s="5"/>
    </row>
    <row r="23" spans="2:11" ht="15.75" customHeight="1">
      <c r="B23" s="408" t="s">
        <v>240</v>
      </c>
      <c r="C23" s="625">
        <v>5</v>
      </c>
      <c r="D23" s="409"/>
      <c r="E23" s="700"/>
      <c r="F23" s="699">
        <v>17759.562841530053</v>
      </c>
      <c r="G23" s="698">
        <f t="shared" si="0"/>
        <v>17759.562841530053</v>
      </c>
      <c r="H23" s="410">
        <f t="shared" si="1"/>
        <v>0.002342895876795724</v>
      </c>
      <c r="I23" s="411">
        <f>G23*H23/$C23</f>
        <v>8.321761311023062</v>
      </c>
      <c r="J23" s="4"/>
      <c r="K23" s="5"/>
    </row>
    <row r="24" spans="2:11" ht="15.75" customHeight="1">
      <c r="B24" s="408" t="s">
        <v>96</v>
      </c>
      <c r="C24" s="625">
        <v>5</v>
      </c>
      <c r="D24" s="409"/>
      <c r="E24" s="700"/>
      <c r="F24" s="699">
        <v>46045.08196721311</v>
      </c>
      <c r="G24" s="698">
        <f t="shared" si="0"/>
        <v>46045.08196721311</v>
      </c>
      <c r="H24" s="410">
        <f t="shared" si="1"/>
        <v>0.002342895876795724</v>
      </c>
      <c r="I24" s="411">
        <f t="shared" si="4"/>
        <v>21.57576653754095</v>
      </c>
      <c r="J24" s="4"/>
      <c r="K24" s="5"/>
    </row>
    <row r="25" spans="2:12" ht="12.75">
      <c r="B25" s="650" t="s">
        <v>111</v>
      </c>
      <c r="C25" s="56"/>
      <c r="D25" s="56"/>
      <c r="E25" s="56"/>
      <c r="F25" s="56"/>
      <c r="G25" s="414">
        <f>SUM(G6:G24)</f>
        <v>2121926.644808743</v>
      </c>
      <c r="H25" s="415"/>
      <c r="I25" s="703">
        <f>SUM(I6:I24)</f>
        <v>559.4473519948467</v>
      </c>
      <c r="J25" s="57">
        <f>SUM(J6:J15)</f>
        <v>0</v>
      </c>
      <c r="K25" s="58"/>
      <c r="L25" s="57" t="e">
        <f>SUM(L6:L15)</f>
        <v>#NAME?</v>
      </c>
    </row>
    <row r="26" spans="2:9" ht="15.75" customHeight="1">
      <c r="B26" s="59" t="s">
        <v>408</v>
      </c>
      <c r="G26" s="416"/>
      <c r="H26" s="416"/>
      <c r="I26" s="418">
        <f>I25/Clients_MC</f>
        <v>2.0720272296105433</v>
      </c>
    </row>
    <row r="27" spans="13:14" s="6" customFormat="1" ht="15.75" customHeight="1">
      <c r="M27" s="51"/>
      <c r="N27" s="51"/>
    </row>
    <row r="28" spans="13:14" s="6" customFormat="1" ht="15.75" customHeight="1">
      <c r="M28" s="51"/>
      <c r="N28" s="51"/>
    </row>
    <row r="29" spans="13:14" s="6" customFormat="1" ht="15.75" customHeight="1">
      <c r="M29" s="51"/>
      <c r="N29" s="51"/>
    </row>
    <row r="30" spans="13:14" s="6" customFormat="1" ht="15.75" customHeight="1">
      <c r="M30" s="51"/>
      <c r="N30" s="51"/>
    </row>
    <row r="31" spans="13:14" s="6" customFormat="1" ht="15.75" customHeight="1">
      <c r="M31" s="51"/>
      <c r="N31" s="51"/>
    </row>
    <row r="32" spans="13:14" s="6" customFormat="1" ht="15.75" customHeight="1">
      <c r="M32" s="51"/>
      <c r="N32" s="51"/>
    </row>
    <row r="33" spans="13:14" s="6" customFormat="1" ht="15.75" customHeight="1">
      <c r="M33" s="51"/>
      <c r="N33" s="51"/>
    </row>
    <row r="34" spans="13:14" s="6" customFormat="1" ht="15.75" customHeight="1">
      <c r="M34" s="51"/>
      <c r="N34" s="51"/>
    </row>
    <row r="35" spans="13:14" s="6" customFormat="1" ht="15.75" customHeight="1">
      <c r="M35" s="51"/>
      <c r="N35" s="51"/>
    </row>
    <row r="36" spans="13:14" s="6" customFormat="1" ht="15.75" customHeight="1">
      <c r="M36" s="51"/>
      <c r="N36" s="51"/>
    </row>
  </sheetData>
  <sheetProtection/>
  <mergeCells count="4">
    <mergeCell ref="G4:I4"/>
    <mergeCell ref="B3:G3"/>
    <mergeCell ref="B2:G2"/>
    <mergeCell ref="H1:J1"/>
  </mergeCells>
  <hyperlinks>
    <hyperlink ref="H1" location="Menu" display="Return to Menu"/>
  </hyperlinks>
  <printOptions horizontalCentered="1" verticalCentered="1"/>
  <pageMargins left="0.5" right="0.5" top="0.5" bottom="0.5" header="0.3" footer="0.3"/>
  <pageSetup fitToHeight="1" fitToWidth="1" horizontalDpi="300" verticalDpi="300" orientation="landscape" scale="25"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J56"/>
  <sheetViews>
    <sheetView showGridLines="0" zoomScalePageLayoutView="0" workbookViewId="0" topLeftCell="A1">
      <selection activeCell="A1" sqref="A1"/>
    </sheetView>
  </sheetViews>
  <sheetFormatPr defaultColWidth="9.140625" defaultRowHeight="12.75"/>
  <cols>
    <col min="1" max="1" width="4.421875" style="385" customWidth="1"/>
    <col min="2" max="2" width="42.8515625" style="30" customWidth="1"/>
    <col min="3" max="8" width="12.7109375" style="30" customWidth="1"/>
    <col min="9" max="11" width="12.7109375" style="30" hidden="1" customWidth="1"/>
    <col min="12" max="12" width="12.00390625" style="30" customWidth="1"/>
    <col min="13" max="13" width="13.7109375" style="11" customWidth="1"/>
    <col min="14" max="15" width="12.28125" style="11" customWidth="1"/>
    <col min="16" max="16384" width="9.140625" style="11" customWidth="1"/>
  </cols>
  <sheetData>
    <row r="1" spans="1:62" s="65" customFormat="1" ht="18">
      <c r="A1" s="386"/>
      <c r="B1" s="679" t="s">
        <v>396</v>
      </c>
      <c r="C1" s="647"/>
      <c r="D1" s="647"/>
      <c r="E1" s="647"/>
      <c r="F1" s="718" t="s">
        <v>342</v>
      </c>
      <c r="G1" s="719"/>
      <c r="H1" s="719"/>
      <c r="I1" s="648"/>
      <c r="J1" s="648"/>
      <c r="K1" s="648"/>
      <c r="L1" s="648"/>
      <c r="M1" s="385"/>
      <c r="N1" s="385"/>
      <c r="O1" s="385"/>
      <c r="P1" s="385"/>
      <c r="Q1" s="385"/>
      <c r="R1" s="385"/>
      <c r="S1" s="385"/>
      <c r="T1" s="385"/>
      <c r="U1" s="385"/>
      <c r="V1" s="385"/>
      <c r="W1" s="385"/>
      <c r="X1" s="385"/>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row>
    <row r="2" spans="1:62" s="12" customFormat="1" ht="15">
      <c r="A2" s="386"/>
      <c r="B2" s="721" t="s">
        <v>106</v>
      </c>
      <c r="C2" s="721"/>
      <c r="D2" s="363"/>
      <c r="E2" s="363"/>
      <c r="F2" s="407"/>
      <c r="G2" s="13"/>
      <c r="H2" s="10"/>
      <c r="I2" s="10"/>
      <c r="J2" s="10"/>
      <c r="K2" s="10"/>
      <c r="L2" s="10"/>
      <c r="M2" s="11"/>
      <c r="N2" s="385"/>
      <c r="O2" s="385"/>
      <c r="P2" s="385"/>
      <c r="Q2" s="385"/>
      <c r="R2" s="385"/>
      <c r="S2" s="385"/>
      <c r="T2" s="385"/>
      <c r="U2" s="385"/>
      <c r="V2" s="385"/>
      <c r="W2" s="385"/>
      <c r="X2" s="385"/>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row>
    <row r="3" spans="1:62" s="12" customFormat="1" ht="12.75" customHeight="1">
      <c r="A3" s="386"/>
      <c r="B3" s="720" t="s">
        <v>282</v>
      </c>
      <c r="C3" s="720"/>
      <c r="D3" s="362"/>
      <c r="E3" s="362"/>
      <c r="F3" s="407"/>
      <c r="G3" s="13"/>
      <c r="H3" s="10"/>
      <c r="I3" s="10"/>
      <c r="J3" s="10"/>
      <c r="K3" s="10"/>
      <c r="L3" s="10"/>
      <c r="M3" s="11"/>
      <c r="N3" s="385"/>
      <c r="O3" s="385"/>
      <c r="P3" s="385"/>
      <c r="Q3" s="385"/>
      <c r="R3" s="385"/>
      <c r="S3" s="385"/>
      <c r="T3" s="385"/>
      <c r="U3" s="385"/>
      <c r="V3" s="385"/>
      <c r="W3" s="385"/>
      <c r="X3" s="385"/>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row>
    <row r="4" spans="1:62" s="65" customFormat="1" ht="18">
      <c r="A4" s="386"/>
      <c r="B4" s="7" t="s">
        <v>15</v>
      </c>
      <c r="C4" s="8"/>
      <c r="D4" s="8"/>
      <c r="E4" s="8"/>
      <c r="F4" s="8"/>
      <c r="G4" s="8"/>
      <c r="H4" s="9"/>
      <c r="I4" s="9"/>
      <c r="J4" s="9"/>
      <c r="K4" s="9"/>
      <c r="L4" s="9"/>
      <c r="M4" s="64"/>
      <c r="N4" s="385"/>
      <c r="O4" s="385"/>
      <c r="P4" s="385"/>
      <c r="Q4" s="385"/>
      <c r="R4" s="385"/>
      <c r="S4" s="385"/>
      <c r="T4" s="385"/>
      <c r="U4" s="385"/>
      <c r="V4" s="385"/>
      <c r="W4" s="385"/>
      <c r="X4" s="385"/>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row>
    <row r="5" spans="2:62" ht="12.75">
      <c r="B5" s="92"/>
      <c r="C5" s="92"/>
      <c r="D5" s="92"/>
      <c r="E5" s="92"/>
      <c r="F5" s="730" t="s">
        <v>184</v>
      </c>
      <c r="G5" s="730"/>
      <c r="H5" s="730"/>
      <c r="I5" s="93"/>
      <c r="J5" s="93"/>
      <c r="K5" s="94"/>
      <c r="L5" s="92"/>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row>
    <row r="6" spans="1:62" s="76" customFormat="1" ht="36">
      <c r="A6" s="387"/>
      <c r="B6" s="75" t="s">
        <v>113</v>
      </c>
      <c r="C6" s="72" t="s">
        <v>16</v>
      </c>
      <c r="D6" s="706" t="s">
        <v>441</v>
      </c>
      <c r="E6" s="706" t="s">
        <v>440</v>
      </c>
      <c r="F6" s="73" t="s">
        <v>440</v>
      </c>
      <c r="G6" s="74" t="s">
        <v>14</v>
      </c>
      <c r="H6" s="73" t="s">
        <v>445</v>
      </c>
      <c r="I6" s="61" t="s">
        <v>17</v>
      </c>
      <c r="J6" s="14" t="s">
        <v>14</v>
      </c>
      <c r="K6" s="15" t="s">
        <v>18</v>
      </c>
      <c r="L6" s="95"/>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row>
    <row r="7" spans="2:62" ht="12.75">
      <c r="B7" s="369" t="s">
        <v>19</v>
      </c>
      <c r="C7" s="370">
        <v>1</v>
      </c>
      <c r="D7" s="707"/>
      <c r="E7" s="371">
        <v>128240.16393442622</v>
      </c>
      <c r="F7" s="708">
        <f>IF(D7&gt;0,D7/Exchange_rate,E7)</f>
        <v>128240.16393442622</v>
      </c>
      <c r="G7" s="372">
        <f>Hospital_circumcision_share</f>
        <v>0.002342895876795724</v>
      </c>
      <c r="H7" s="373">
        <f>F7*G7</f>
        <v>300.45335132157487</v>
      </c>
      <c r="I7" s="62">
        <v>0</v>
      </c>
      <c r="J7" s="16" t="e">
        <f>HC_MC_Share</f>
        <v>#NAME?</v>
      </c>
      <c r="K7" s="17" t="e">
        <f>I7*J7*$C7</f>
        <v>#NAME?</v>
      </c>
      <c r="L7" s="92"/>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row>
    <row r="8" spans="2:62" ht="12.75">
      <c r="B8" s="369" t="s">
        <v>20</v>
      </c>
      <c r="C8" s="370">
        <v>1</v>
      </c>
      <c r="D8" s="707"/>
      <c r="E8" s="371">
        <v>128240.16393442622</v>
      </c>
      <c r="F8" s="708">
        <f>IF(D8&gt;0,D8/Exchange_rate,E8)</f>
        <v>128240.16393442622</v>
      </c>
      <c r="G8" s="372">
        <f>Hospital_circumcision_share</f>
        <v>0.002342895876795724</v>
      </c>
      <c r="H8" s="373">
        <f>F8*G8</f>
        <v>300.45335132157487</v>
      </c>
      <c r="I8" s="62">
        <v>0</v>
      </c>
      <c r="J8" s="16" t="e">
        <f>HC_MC_Share</f>
        <v>#NAME?</v>
      </c>
      <c r="K8" s="17" t="e">
        <f>I8*J8*$C8</f>
        <v>#NAME?</v>
      </c>
      <c r="L8" s="92"/>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row>
    <row r="9" spans="2:62" ht="12.75">
      <c r="B9" s="369" t="s">
        <v>21</v>
      </c>
      <c r="C9" s="370">
        <v>1</v>
      </c>
      <c r="D9" s="707"/>
      <c r="E9" s="371">
        <v>100787.70491803279</v>
      </c>
      <c r="F9" s="708">
        <f>IF(D9&gt;0,D9/Exchange_rate,E9)</f>
        <v>100787.70491803279</v>
      </c>
      <c r="G9" s="372">
        <f>Hospital_circumcision_share</f>
        <v>0.002342895876795724</v>
      </c>
      <c r="H9" s="373">
        <f>F9*G9</f>
        <v>236.13509828416312</v>
      </c>
      <c r="I9" s="63">
        <v>0</v>
      </c>
      <c r="J9" s="16" t="e">
        <f>HC_MC_Share</f>
        <v>#NAME?</v>
      </c>
      <c r="K9" s="17" t="e">
        <f>I9*J9*$C9</f>
        <v>#NAME?</v>
      </c>
      <c r="L9" s="92"/>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row>
    <row r="10" spans="2:62" ht="12.75">
      <c r="B10" s="96" t="s">
        <v>22</v>
      </c>
      <c r="C10" s="97"/>
      <c r="D10" s="97"/>
      <c r="E10" s="97"/>
      <c r="F10" s="98"/>
      <c r="G10" s="99"/>
      <c r="H10" s="100">
        <f>SUM(H7:H9)</f>
        <v>837.0418009273128</v>
      </c>
      <c r="I10" s="101"/>
      <c r="J10" s="102"/>
      <c r="K10" s="103" t="e">
        <f>SUM(K7:K9)</f>
        <v>#NAME?</v>
      </c>
      <c r="L10" s="104"/>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row>
    <row r="11" spans="2:62" ht="12.75">
      <c r="B11" s="59" t="s">
        <v>213</v>
      </c>
      <c r="C11" s="97"/>
      <c r="D11" s="97"/>
      <c r="E11" s="97"/>
      <c r="F11" s="98"/>
      <c r="G11" s="99"/>
      <c r="H11" s="304">
        <f>H10/Clients_MC</f>
        <v>3.100154818249307</v>
      </c>
      <c r="I11" s="101"/>
      <c r="J11" s="102"/>
      <c r="K11" s="105"/>
      <c r="L11" s="104"/>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row>
    <row r="12" spans="2:62" ht="12.75">
      <c r="B12" s="20"/>
      <c r="C12" s="22"/>
      <c r="D12" s="22"/>
      <c r="E12" s="22"/>
      <c r="F12" s="22"/>
      <c r="G12" s="22"/>
      <c r="H12" s="22"/>
      <c r="I12" s="105"/>
      <c r="J12" s="105"/>
      <c r="K12" s="22"/>
      <c r="L12" s="104"/>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row>
    <row r="13" spans="1:62" s="66" customFormat="1" ht="18">
      <c r="A13" s="388"/>
      <c r="B13" s="7" t="s">
        <v>338</v>
      </c>
      <c r="C13" s="7"/>
      <c r="D13" s="7"/>
      <c r="E13" s="7"/>
      <c r="F13" s="7"/>
      <c r="G13" s="7"/>
      <c r="H13" s="7"/>
      <c r="I13" s="18"/>
      <c r="J13" s="18"/>
      <c r="K13" s="7"/>
      <c r="L13" s="7"/>
      <c r="M13" s="64"/>
      <c r="N13" s="385"/>
      <c r="O13" s="385"/>
      <c r="P13" s="385"/>
      <c r="Q13" s="385"/>
      <c r="R13" s="385"/>
      <c r="S13" s="385"/>
      <c r="T13" s="385"/>
      <c r="U13" s="385"/>
      <c r="V13" s="385"/>
      <c r="W13" s="385"/>
      <c r="X13" s="385"/>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row>
    <row r="14" spans="2:62" ht="12.75">
      <c r="B14" s="92"/>
      <c r="C14" s="92"/>
      <c r="D14" s="92"/>
      <c r="E14" s="92"/>
      <c r="F14" s="106" t="s">
        <v>184</v>
      </c>
      <c r="G14" s="93"/>
      <c r="H14" s="93"/>
      <c r="I14" s="93" t="s">
        <v>0</v>
      </c>
      <c r="J14" s="93"/>
      <c r="K14" s="94"/>
      <c r="L14" s="92"/>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row>
    <row r="15" spans="2:62" ht="33.75" customHeight="1">
      <c r="B15" s="75" t="s">
        <v>113</v>
      </c>
      <c r="C15" s="709" t="s">
        <v>428</v>
      </c>
      <c r="D15" s="88" t="s">
        <v>444</v>
      </c>
      <c r="E15" s="709" t="s">
        <v>442</v>
      </c>
      <c r="F15" s="88" t="s">
        <v>431</v>
      </c>
      <c r="G15" s="88" t="s">
        <v>443</v>
      </c>
      <c r="H15" s="74" t="s">
        <v>23</v>
      </c>
      <c r="I15" s="61" t="s">
        <v>23</v>
      </c>
      <c r="J15" s="19" t="s">
        <v>6</v>
      </c>
      <c r="K15" s="15" t="s">
        <v>24</v>
      </c>
      <c r="L15" s="74" t="s">
        <v>14</v>
      </c>
      <c r="M15" s="74" t="s">
        <v>397</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row>
    <row r="16" spans="2:62" ht="12.75">
      <c r="B16" s="369" t="s">
        <v>399</v>
      </c>
      <c r="C16" s="374"/>
      <c r="D16" s="710">
        <f aca="true" t="shared" si="0" ref="D16:D40">((5*12)*C16)/600</f>
        <v>0</v>
      </c>
      <c r="E16" s="374">
        <v>9842.622950819672</v>
      </c>
      <c r="F16" s="630">
        <f>((5*12)*E16)/600</f>
        <v>984.2622950819672</v>
      </c>
      <c r="G16" s="624">
        <f aca="true" t="shared" si="1" ref="G16:G41">IF(C16&gt;0,(C16+D16)/Exchange_rate,E16+F16)</f>
        <v>10826.88524590164</v>
      </c>
      <c r="H16" s="375">
        <v>1</v>
      </c>
      <c r="I16" s="376"/>
      <c r="J16" s="377"/>
      <c r="K16" s="378"/>
      <c r="L16" s="372">
        <f aca="true" t="shared" si="2" ref="L16:L41">Hospital_circumcision_share</f>
        <v>0.002342895876795724</v>
      </c>
      <c r="M16" s="378">
        <f>H16*L16*$G16</f>
        <v>25.36626480116341</v>
      </c>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row>
    <row r="17" spans="2:62" ht="12.75">
      <c r="B17" s="369" t="s">
        <v>400</v>
      </c>
      <c r="C17" s="374"/>
      <c r="D17" s="710">
        <f t="shared" si="0"/>
        <v>0</v>
      </c>
      <c r="E17" s="374">
        <v>6927.868852459016</v>
      </c>
      <c r="F17" s="630">
        <f aca="true" t="shared" si="3" ref="F17:F41">((5*12)*E17)/600</f>
        <v>692.7868852459017</v>
      </c>
      <c r="G17" s="624">
        <f t="shared" si="1"/>
        <v>7620.655737704918</v>
      </c>
      <c r="H17" s="375">
        <v>2</v>
      </c>
      <c r="I17" s="376"/>
      <c r="J17" s="377"/>
      <c r="K17" s="378"/>
      <c r="L17" s="372">
        <f t="shared" si="2"/>
        <v>0.002342895876795724</v>
      </c>
      <c r="M17" s="378">
        <f>H17*L17*$G17</f>
        <v>35.70880581269705</v>
      </c>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row>
    <row r="18" spans="2:62" ht="12.75">
      <c r="B18" s="369" t="s">
        <v>427</v>
      </c>
      <c r="C18" s="374"/>
      <c r="D18" s="710">
        <f t="shared" si="0"/>
        <v>0</v>
      </c>
      <c r="E18" s="374">
        <v>6927.868852459016</v>
      </c>
      <c r="F18" s="630">
        <f t="shared" si="3"/>
        <v>692.7868852459017</v>
      </c>
      <c r="G18" s="624">
        <f t="shared" si="1"/>
        <v>7620.655737704918</v>
      </c>
      <c r="H18" s="375">
        <v>1</v>
      </c>
      <c r="I18" s="376"/>
      <c r="J18" s="377"/>
      <c r="K18" s="378"/>
      <c r="L18" s="372">
        <f t="shared" si="2"/>
        <v>0.002342895876795724</v>
      </c>
      <c r="M18" s="378">
        <f aca="true" t="shared" si="4" ref="M18:M23">H18*L18*$G18</f>
        <v>17.854402906348525</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row>
    <row r="19" spans="2:62" ht="12.75">
      <c r="B19" s="369" t="s">
        <v>203</v>
      </c>
      <c r="C19" s="374"/>
      <c r="D19" s="710">
        <f t="shared" si="0"/>
        <v>0</v>
      </c>
      <c r="E19" s="374">
        <v>6927.868852459016</v>
      </c>
      <c r="F19" s="630">
        <f t="shared" si="3"/>
        <v>692.7868852459017</v>
      </c>
      <c r="G19" s="624">
        <f t="shared" si="1"/>
        <v>7620.655737704918</v>
      </c>
      <c r="H19" s="375">
        <v>1</v>
      </c>
      <c r="I19" s="376"/>
      <c r="J19" s="377"/>
      <c r="K19" s="378"/>
      <c r="L19" s="372">
        <f t="shared" si="2"/>
        <v>0.002342895876795724</v>
      </c>
      <c r="M19" s="378">
        <f t="shared" si="4"/>
        <v>17.854402906348525</v>
      </c>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row>
    <row r="20" spans="2:62" ht="12.75">
      <c r="B20" s="369" t="s">
        <v>202</v>
      </c>
      <c r="C20" s="374"/>
      <c r="D20" s="710">
        <f t="shared" si="0"/>
        <v>0</v>
      </c>
      <c r="E20" s="374">
        <v>6927.868852459016</v>
      </c>
      <c r="F20" s="630">
        <f t="shared" si="3"/>
        <v>692.7868852459017</v>
      </c>
      <c r="G20" s="624">
        <f t="shared" si="1"/>
        <v>7620.655737704918</v>
      </c>
      <c r="H20" s="375">
        <v>3</v>
      </c>
      <c r="I20" s="376"/>
      <c r="J20" s="377"/>
      <c r="K20" s="378"/>
      <c r="L20" s="372">
        <f t="shared" si="2"/>
        <v>0.002342895876795724</v>
      </c>
      <c r="M20" s="378">
        <f t="shared" si="4"/>
        <v>53.56320871904558</v>
      </c>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row>
    <row r="21" spans="2:62" ht="12.75">
      <c r="B21" s="369" t="s">
        <v>401</v>
      </c>
      <c r="C21" s="374"/>
      <c r="D21" s="710">
        <f t="shared" si="0"/>
        <v>0</v>
      </c>
      <c r="E21" s="374">
        <v>4886.885245901639</v>
      </c>
      <c r="F21" s="630">
        <f t="shared" si="3"/>
        <v>488.6885245901639</v>
      </c>
      <c r="G21" s="624">
        <f t="shared" si="1"/>
        <v>5375.573770491803</v>
      </c>
      <c r="H21" s="375">
        <v>1</v>
      </c>
      <c r="I21" s="376"/>
      <c r="J21" s="377"/>
      <c r="K21" s="378"/>
      <c r="L21" s="372">
        <f t="shared" si="2"/>
        <v>0.002342895876795724</v>
      </c>
      <c r="M21" s="378">
        <f t="shared" si="4"/>
        <v>12.594409622296489</v>
      </c>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row>
    <row r="22" spans="2:62" ht="12.75">
      <c r="B22" s="369" t="s">
        <v>201</v>
      </c>
      <c r="C22" s="374"/>
      <c r="D22" s="710">
        <f t="shared" si="0"/>
        <v>0</v>
      </c>
      <c r="E22" s="374">
        <v>3236.0655737704915</v>
      </c>
      <c r="F22" s="630">
        <f t="shared" si="3"/>
        <v>323.6065573770491</v>
      </c>
      <c r="G22" s="624">
        <f t="shared" si="1"/>
        <v>3559.6721311475408</v>
      </c>
      <c r="H22" s="375">
        <v>2</v>
      </c>
      <c r="I22" s="376"/>
      <c r="J22" s="377"/>
      <c r="K22" s="378"/>
      <c r="L22" s="372">
        <f t="shared" si="2"/>
        <v>0.002342895876795724</v>
      </c>
      <c r="M22" s="378">
        <f t="shared" si="4"/>
        <v>16.679882317620443</v>
      </c>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row>
    <row r="23" spans="2:62" ht="12.75">
      <c r="B23" s="369" t="s">
        <v>200</v>
      </c>
      <c r="C23" s="374"/>
      <c r="D23" s="710">
        <f t="shared" si="0"/>
        <v>0</v>
      </c>
      <c r="E23" s="374">
        <v>3236.0655737704915</v>
      </c>
      <c r="F23" s="630">
        <f t="shared" si="3"/>
        <v>323.6065573770491</v>
      </c>
      <c r="G23" s="624">
        <f t="shared" si="1"/>
        <v>3559.6721311475408</v>
      </c>
      <c r="H23" s="375">
        <v>0</v>
      </c>
      <c r="I23" s="376"/>
      <c r="J23" s="377"/>
      <c r="K23" s="378"/>
      <c r="L23" s="372">
        <f t="shared" si="2"/>
        <v>0.002342895876795724</v>
      </c>
      <c r="M23" s="378">
        <f t="shared" si="4"/>
        <v>0</v>
      </c>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row>
    <row r="24" spans="2:62" ht="12.75">
      <c r="B24" s="369" t="s">
        <v>199</v>
      </c>
      <c r="C24" s="374"/>
      <c r="D24" s="710">
        <f t="shared" si="0"/>
        <v>0</v>
      </c>
      <c r="E24" s="374">
        <v>3236.0655737704915</v>
      </c>
      <c r="F24" s="630">
        <f t="shared" si="3"/>
        <v>323.6065573770491</v>
      </c>
      <c r="G24" s="624">
        <f t="shared" si="1"/>
        <v>3559.6721311475408</v>
      </c>
      <c r="H24" s="375">
        <v>0</v>
      </c>
      <c r="I24" s="376"/>
      <c r="J24" s="377"/>
      <c r="K24" s="378"/>
      <c r="L24" s="372">
        <f t="shared" si="2"/>
        <v>0.002342895876795724</v>
      </c>
      <c r="M24" s="378">
        <f aca="true" t="shared" si="5" ref="M24:M40">H24*L24*$G24</f>
        <v>0</v>
      </c>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row>
    <row r="25" spans="2:62" ht="12.75">
      <c r="B25" s="369" t="s">
        <v>30</v>
      </c>
      <c r="C25" s="374"/>
      <c r="D25" s="710">
        <f t="shared" si="0"/>
        <v>0</v>
      </c>
      <c r="E25" s="374">
        <v>2145.901639344262</v>
      </c>
      <c r="F25" s="630">
        <f t="shared" si="3"/>
        <v>214.59016393442622</v>
      </c>
      <c r="G25" s="624">
        <f t="shared" si="1"/>
        <v>2360.491803278688</v>
      </c>
      <c r="H25" s="375">
        <v>5</v>
      </c>
      <c r="I25" s="376">
        <v>1</v>
      </c>
      <c r="J25" s="377" t="e">
        <f aca="true" t="shared" si="6" ref="J25:J41">HC_Percent_maternal</f>
        <v>#NAME?</v>
      </c>
      <c r="K25" s="378" t="e">
        <f>I25*J25*$C25</f>
        <v>#NAME?</v>
      </c>
      <c r="L25" s="372">
        <f t="shared" si="2"/>
        <v>0.002342895876795724</v>
      </c>
      <c r="M25" s="378">
        <f t="shared" si="5"/>
        <v>27.65193256555871</v>
      </c>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row>
    <row r="26" spans="2:62" ht="12.75">
      <c r="B26" s="369" t="s">
        <v>89</v>
      </c>
      <c r="C26" s="374"/>
      <c r="D26" s="710">
        <f t="shared" si="0"/>
        <v>0</v>
      </c>
      <c r="E26" s="374">
        <v>4886.885245901639</v>
      </c>
      <c r="F26" s="630">
        <f t="shared" si="3"/>
        <v>488.6885245901639</v>
      </c>
      <c r="G26" s="624">
        <f t="shared" si="1"/>
        <v>5375.573770491803</v>
      </c>
      <c r="H26" s="375">
        <v>1</v>
      </c>
      <c r="I26" s="376"/>
      <c r="J26" s="377"/>
      <c r="K26" s="378"/>
      <c r="L26" s="372">
        <f t="shared" si="2"/>
        <v>0.002342895876795724</v>
      </c>
      <c r="M26" s="378">
        <f t="shared" si="5"/>
        <v>12.594409622296489</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row>
    <row r="27" spans="2:62" ht="12.75">
      <c r="B27" s="369" t="s">
        <v>93</v>
      </c>
      <c r="C27" s="374"/>
      <c r="D27" s="710">
        <f t="shared" si="0"/>
        <v>0</v>
      </c>
      <c r="E27" s="374">
        <v>3236.0655737704915</v>
      </c>
      <c r="F27" s="630">
        <f t="shared" si="3"/>
        <v>323.6065573770491</v>
      </c>
      <c r="G27" s="624">
        <f t="shared" si="1"/>
        <v>3559.6721311475408</v>
      </c>
      <c r="H27" s="375">
        <v>5</v>
      </c>
      <c r="I27" s="376"/>
      <c r="J27" s="377"/>
      <c r="K27" s="378"/>
      <c r="L27" s="372">
        <f t="shared" si="2"/>
        <v>0.002342895876795724</v>
      </c>
      <c r="M27" s="378">
        <f t="shared" si="5"/>
        <v>41.699705794051106</v>
      </c>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row>
    <row r="28" spans="2:62" ht="12.75">
      <c r="B28" s="369" t="s">
        <v>90</v>
      </c>
      <c r="C28" s="374"/>
      <c r="D28" s="710">
        <f t="shared" si="0"/>
        <v>0</v>
      </c>
      <c r="E28" s="374">
        <v>1498.3606557377047</v>
      </c>
      <c r="F28" s="630">
        <f t="shared" si="3"/>
        <v>149.83606557377047</v>
      </c>
      <c r="G28" s="624">
        <f t="shared" si="1"/>
        <v>1648.1967213114751</v>
      </c>
      <c r="H28" s="375">
        <v>0</v>
      </c>
      <c r="I28" s="376"/>
      <c r="J28" s="377"/>
      <c r="K28" s="378"/>
      <c r="L28" s="372">
        <f t="shared" si="2"/>
        <v>0.002342895876795724</v>
      </c>
      <c r="M28" s="378">
        <f t="shared" si="5"/>
        <v>0</v>
      </c>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2" ht="12.75">
      <c r="B29" s="369" t="s">
        <v>91</v>
      </c>
      <c r="C29" s="374"/>
      <c r="D29" s="710">
        <f t="shared" si="0"/>
        <v>0</v>
      </c>
      <c r="E29" s="374">
        <v>1498.3606557377047</v>
      </c>
      <c r="F29" s="630">
        <f t="shared" si="3"/>
        <v>149.83606557377047</v>
      </c>
      <c r="G29" s="624">
        <f t="shared" si="1"/>
        <v>1648.1967213114751</v>
      </c>
      <c r="H29" s="375">
        <v>4</v>
      </c>
      <c r="I29" s="376"/>
      <c r="J29" s="377"/>
      <c r="K29" s="378"/>
      <c r="L29" s="372">
        <f t="shared" si="2"/>
        <v>0.002342895876795724</v>
      </c>
      <c r="M29" s="378">
        <f t="shared" si="5"/>
        <v>15.446213210035543</v>
      </c>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row>
    <row r="30" spans="2:62" ht="12.75">
      <c r="B30" s="369" t="s">
        <v>197</v>
      </c>
      <c r="C30" s="374"/>
      <c r="D30" s="710">
        <f t="shared" si="0"/>
        <v>0</v>
      </c>
      <c r="E30" s="374">
        <v>1498.3606557377047</v>
      </c>
      <c r="F30" s="630">
        <f t="shared" si="3"/>
        <v>149.83606557377047</v>
      </c>
      <c r="G30" s="624">
        <f t="shared" si="1"/>
        <v>1648.1967213114751</v>
      </c>
      <c r="H30" s="375">
        <v>7</v>
      </c>
      <c r="I30" s="376"/>
      <c r="J30" s="377"/>
      <c r="K30" s="378"/>
      <c r="L30" s="372">
        <f t="shared" si="2"/>
        <v>0.002342895876795724</v>
      </c>
      <c r="M30" s="378">
        <f t="shared" si="5"/>
        <v>27.0308731175622</v>
      </c>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row>
    <row r="31" spans="2:62" ht="12.75">
      <c r="B31" s="369" t="s">
        <v>196</v>
      </c>
      <c r="C31" s="374"/>
      <c r="D31" s="710">
        <f t="shared" si="0"/>
        <v>0</v>
      </c>
      <c r="E31" s="374">
        <v>1247.5409836065573</v>
      </c>
      <c r="F31" s="630">
        <f t="shared" si="3"/>
        <v>124.75409836065572</v>
      </c>
      <c r="G31" s="624">
        <f t="shared" si="1"/>
        <v>1372.295081967213</v>
      </c>
      <c r="H31" s="375">
        <v>32</v>
      </c>
      <c r="I31" s="376"/>
      <c r="J31" s="377"/>
      <c r="K31" s="378"/>
      <c r="L31" s="372">
        <f t="shared" si="2"/>
        <v>0.002342895876795724</v>
      </c>
      <c r="M31" s="378">
        <f t="shared" si="5"/>
        <v>102.88462365721706</v>
      </c>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row>
    <row r="32" spans="2:62" ht="12.75">
      <c r="B32" s="369" t="s">
        <v>92</v>
      </c>
      <c r="C32" s="374"/>
      <c r="D32" s="710">
        <f t="shared" si="0"/>
        <v>0</v>
      </c>
      <c r="E32" s="374">
        <v>1247.5409836065573</v>
      </c>
      <c r="F32" s="630">
        <f t="shared" si="3"/>
        <v>124.75409836065572</v>
      </c>
      <c r="G32" s="624">
        <f t="shared" si="1"/>
        <v>1372.295081967213</v>
      </c>
      <c r="H32" s="375">
        <v>18</v>
      </c>
      <c r="I32" s="376"/>
      <c r="J32" s="377"/>
      <c r="K32" s="378"/>
      <c r="L32" s="372">
        <f t="shared" si="2"/>
        <v>0.002342895876795724</v>
      </c>
      <c r="M32" s="378">
        <f t="shared" si="5"/>
        <v>57.872600807184604</v>
      </c>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row>
    <row r="33" spans="2:62" ht="12.75">
      <c r="B33" s="369" t="s">
        <v>25</v>
      </c>
      <c r="C33" s="374"/>
      <c r="D33" s="710">
        <f t="shared" si="0"/>
        <v>0</v>
      </c>
      <c r="E33" s="374">
        <v>0</v>
      </c>
      <c r="F33" s="630">
        <f t="shared" si="3"/>
        <v>0</v>
      </c>
      <c r="G33" s="624">
        <f t="shared" si="1"/>
        <v>0</v>
      </c>
      <c r="H33" s="375"/>
      <c r="I33" s="376">
        <v>3</v>
      </c>
      <c r="J33" s="377" t="e">
        <f t="shared" si="6"/>
        <v>#NAME?</v>
      </c>
      <c r="K33" s="378" t="e">
        <f aca="true" t="shared" si="7" ref="K33:K39">I33*J33*$C33</f>
        <v>#NAME?</v>
      </c>
      <c r="L33" s="372">
        <f t="shared" si="2"/>
        <v>0.002342895876795724</v>
      </c>
      <c r="M33" s="378">
        <f t="shared" si="5"/>
        <v>0</v>
      </c>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row>
    <row r="34" spans="2:62" ht="12.75">
      <c r="B34" s="369" t="s">
        <v>26</v>
      </c>
      <c r="C34" s="374"/>
      <c r="D34" s="710">
        <f t="shared" si="0"/>
        <v>0</v>
      </c>
      <c r="E34" s="374">
        <v>0</v>
      </c>
      <c r="F34" s="630">
        <f t="shared" si="3"/>
        <v>0</v>
      </c>
      <c r="G34" s="624">
        <f t="shared" si="1"/>
        <v>0</v>
      </c>
      <c r="H34" s="375"/>
      <c r="I34" s="376">
        <v>3</v>
      </c>
      <c r="J34" s="377" t="e">
        <f t="shared" si="6"/>
        <v>#NAME?</v>
      </c>
      <c r="K34" s="378" t="e">
        <f t="shared" si="7"/>
        <v>#NAME?</v>
      </c>
      <c r="L34" s="372">
        <f t="shared" si="2"/>
        <v>0.002342895876795724</v>
      </c>
      <c r="M34" s="378">
        <f t="shared" si="5"/>
        <v>0</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row>
    <row r="35" spans="2:62" ht="12.75">
      <c r="B35" s="369" t="s">
        <v>27</v>
      </c>
      <c r="C35" s="374"/>
      <c r="D35" s="710">
        <f t="shared" si="0"/>
        <v>0</v>
      </c>
      <c r="E35" s="374">
        <v>0</v>
      </c>
      <c r="F35" s="630">
        <f t="shared" si="3"/>
        <v>0</v>
      </c>
      <c r="G35" s="624">
        <f t="shared" si="1"/>
        <v>0</v>
      </c>
      <c r="H35" s="375"/>
      <c r="I35" s="376">
        <v>1</v>
      </c>
      <c r="J35" s="377" t="e">
        <f t="shared" si="6"/>
        <v>#NAME?</v>
      </c>
      <c r="K35" s="378" t="e">
        <f t="shared" si="7"/>
        <v>#NAME?</v>
      </c>
      <c r="L35" s="372">
        <f t="shared" si="2"/>
        <v>0.002342895876795724</v>
      </c>
      <c r="M35" s="378">
        <f t="shared" si="5"/>
        <v>0</v>
      </c>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row>
    <row r="36" spans="2:62" ht="12.75">
      <c r="B36" s="369" t="s">
        <v>28</v>
      </c>
      <c r="C36" s="374"/>
      <c r="D36" s="710">
        <f t="shared" si="0"/>
        <v>0</v>
      </c>
      <c r="E36" s="374">
        <v>0</v>
      </c>
      <c r="F36" s="630">
        <f t="shared" si="3"/>
        <v>0</v>
      </c>
      <c r="G36" s="624">
        <f t="shared" si="1"/>
        <v>0</v>
      </c>
      <c r="H36" s="375"/>
      <c r="I36" s="376">
        <v>1</v>
      </c>
      <c r="J36" s="377" t="e">
        <f t="shared" si="6"/>
        <v>#NAME?</v>
      </c>
      <c r="K36" s="378" t="e">
        <f t="shared" si="7"/>
        <v>#NAME?</v>
      </c>
      <c r="L36" s="372">
        <f t="shared" si="2"/>
        <v>0.002342895876795724</v>
      </c>
      <c r="M36" s="378">
        <f t="shared" si="5"/>
        <v>0</v>
      </c>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62" ht="12.75">
      <c r="B37" s="369" t="s">
        <v>402</v>
      </c>
      <c r="C37" s="374"/>
      <c r="D37" s="710">
        <f t="shared" si="0"/>
        <v>0</v>
      </c>
      <c r="E37" s="374">
        <v>0</v>
      </c>
      <c r="F37" s="630">
        <f t="shared" si="3"/>
        <v>0</v>
      </c>
      <c r="G37" s="624">
        <f t="shared" si="1"/>
        <v>0</v>
      </c>
      <c r="H37" s="375"/>
      <c r="I37" s="376">
        <v>2</v>
      </c>
      <c r="J37" s="377" t="e">
        <f t="shared" si="6"/>
        <v>#NAME?</v>
      </c>
      <c r="K37" s="378" t="e">
        <f t="shared" si="7"/>
        <v>#NAME?</v>
      </c>
      <c r="L37" s="372">
        <f t="shared" si="2"/>
        <v>0.002342895876795724</v>
      </c>
      <c r="M37" s="378">
        <f t="shared" si="5"/>
        <v>0</v>
      </c>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row>
    <row r="38" spans="2:62" ht="12.75">
      <c r="B38" s="379" t="s">
        <v>29</v>
      </c>
      <c r="C38" s="374"/>
      <c r="D38" s="710">
        <f t="shared" si="0"/>
        <v>0</v>
      </c>
      <c r="E38" s="374">
        <v>0</v>
      </c>
      <c r="F38" s="630">
        <f t="shared" si="3"/>
        <v>0</v>
      </c>
      <c r="G38" s="624">
        <f t="shared" si="1"/>
        <v>0</v>
      </c>
      <c r="H38" s="375"/>
      <c r="I38" s="376">
        <v>0</v>
      </c>
      <c r="J38" s="377" t="e">
        <f t="shared" si="6"/>
        <v>#NAME?</v>
      </c>
      <c r="K38" s="378" t="e">
        <f t="shared" si="7"/>
        <v>#NAME?</v>
      </c>
      <c r="L38" s="372">
        <f t="shared" si="2"/>
        <v>0.002342895876795724</v>
      </c>
      <c r="M38" s="378">
        <f t="shared" si="5"/>
        <v>0</v>
      </c>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row>
    <row r="39" spans="2:62" ht="12.75">
      <c r="B39" s="369" t="s">
        <v>403</v>
      </c>
      <c r="C39" s="374"/>
      <c r="D39" s="710">
        <f t="shared" si="0"/>
        <v>0</v>
      </c>
      <c r="E39" s="374">
        <v>0</v>
      </c>
      <c r="F39" s="630">
        <f t="shared" si="3"/>
        <v>0</v>
      </c>
      <c r="G39" s="624">
        <f t="shared" si="1"/>
        <v>0</v>
      </c>
      <c r="H39" s="375"/>
      <c r="I39" s="376">
        <v>1</v>
      </c>
      <c r="J39" s="377" t="e">
        <f t="shared" si="6"/>
        <v>#NAME?</v>
      </c>
      <c r="K39" s="378" t="e">
        <f t="shared" si="7"/>
        <v>#NAME?</v>
      </c>
      <c r="L39" s="372">
        <f t="shared" si="2"/>
        <v>0.002342895876795724</v>
      </c>
      <c r="M39" s="378">
        <f t="shared" si="5"/>
        <v>0</v>
      </c>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row>
    <row r="40" spans="2:62" ht="12.75">
      <c r="B40" s="369" t="s">
        <v>404</v>
      </c>
      <c r="C40" s="374"/>
      <c r="D40" s="710">
        <f t="shared" si="0"/>
        <v>0</v>
      </c>
      <c r="E40" s="374">
        <v>0</v>
      </c>
      <c r="F40" s="630">
        <f t="shared" si="3"/>
        <v>0</v>
      </c>
      <c r="G40" s="624">
        <f t="shared" si="1"/>
        <v>0</v>
      </c>
      <c r="H40" s="375"/>
      <c r="I40" s="376"/>
      <c r="J40" s="377"/>
      <c r="K40" s="378"/>
      <c r="L40" s="372">
        <f t="shared" si="2"/>
        <v>0.002342895876795724</v>
      </c>
      <c r="M40" s="378">
        <f t="shared" si="5"/>
        <v>0</v>
      </c>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row>
    <row r="41" spans="2:62" ht="12.75">
      <c r="B41" s="369" t="s">
        <v>88</v>
      </c>
      <c r="C41" s="374"/>
      <c r="D41" s="710">
        <f>((5*12)*C41)/600</f>
        <v>0</v>
      </c>
      <c r="E41" s="374">
        <v>1247.5409836065573</v>
      </c>
      <c r="F41" s="630">
        <f t="shared" si="3"/>
        <v>124.75409836065572</v>
      </c>
      <c r="G41" s="624">
        <f t="shared" si="1"/>
        <v>1372.295081967213</v>
      </c>
      <c r="H41" s="375">
        <v>6</v>
      </c>
      <c r="I41" s="376">
        <v>1</v>
      </c>
      <c r="J41" s="377" t="e">
        <f t="shared" si="6"/>
        <v>#NAME?</v>
      </c>
      <c r="K41" s="378" t="e">
        <f>I41*J41*$C41</f>
        <v>#NAME?</v>
      </c>
      <c r="L41" s="380">
        <f t="shared" si="2"/>
        <v>0.002342895876795724</v>
      </c>
      <c r="M41" s="378">
        <f>H41*L41*$G41</f>
        <v>19.2908669357282</v>
      </c>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row>
    <row r="42" spans="2:62" ht="15">
      <c r="B42" s="20" t="s">
        <v>31</v>
      </c>
      <c r="C42" s="21"/>
      <c r="D42" s="21"/>
      <c r="E42" s="21"/>
      <c r="F42" s="356"/>
      <c r="G42" s="357"/>
      <c r="H42" s="357"/>
      <c r="I42" s="22"/>
      <c r="J42" s="22"/>
      <c r="K42" s="23" t="e">
        <f>SUM(K16:K41)</f>
        <v>#NAME?</v>
      </c>
      <c r="M42" s="67">
        <f>SUM(M16:M41)</f>
        <v>484.09260279515394</v>
      </c>
      <c r="N42" s="389"/>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row>
    <row r="43" spans="2:62" ht="12.75">
      <c r="B43" s="59" t="s">
        <v>405</v>
      </c>
      <c r="C43" s="25"/>
      <c r="D43" s="25"/>
      <c r="E43" s="25"/>
      <c r="F43" s="358"/>
      <c r="G43" s="358"/>
      <c r="H43" s="358"/>
      <c r="I43" s="25"/>
      <c r="J43" s="25"/>
      <c r="K43" s="25"/>
      <c r="L43" s="26"/>
      <c r="M43" s="367">
        <f>M42/Clients_MC</f>
        <v>1.7929355659079775</v>
      </c>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row>
    <row r="44" spans="2:62" ht="12.75">
      <c r="B44" s="24"/>
      <c r="C44" s="25"/>
      <c r="D44" s="25"/>
      <c r="E44" s="25"/>
      <c r="F44" s="358"/>
      <c r="G44" s="358"/>
      <c r="H44" s="358"/>
      <c r="I44" s="25"/>
      <c r="J44" s="25"/>
      <c r="K44" s="25"/>
      <c r="L44" s="26"/>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row>
    <row r="45" spans="1:62" s="314" customFormat="1" ht="18">
      <c r="A45" s="391"/>
      <c r="B45" s="7" t="s">
        <v>32</v>
      </c>
      <c r="C45" s="27"/>
      <c r="D45" s="27"/>
      <c r="E45" s="27"/>
      <c r="F45" s="27"/>
      <c r="G45" s="27"/>
      <c r="H45" s="27"/>
      <c r="I45" s="27"/>
      <c r="J45" s="27"/>
      <c r="K45" s="27"/>
      <c r="L45" s="27"/>
      <c r="M45" s="64"/>
      <c r="N45" s="385"/>
      <c r="O45" s="385"/>
      <c r="P45" s="385"/>
      <c r="Q45" s="385"/>
      <c r="R45" s="385"/>
      <c r="S45" s="385"/>
      <c r="T45" s="385"/>
      <c r="U45" s="385"/>
      <c r="V45" s="385"/>
      <c r="W45" s="385"/>
      <c r="X45" s="385"/>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row>
    <row r="46" spans="2:62" ht="12.75">
      <c r="B46" s="92"/>
      <c r="C46" s="92"/>
      <c r="D46" s="92"/>
      <c r="E46" s="92"/>
      <c r="F46" s="359" t="s">
        <v>1</v>
      </c>
      <c r="G46" s="359"/>
      <c r="H46" s="359"/>
      <c r="I46" s="93" t="s">
        <v>0</v>
      </c>
      <c r="J46" s="93"/>
      <c r="K46" s="94"/>
      <c r="L46" s="92"/>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row>
    <row r="47" spans="2:62" ht="33.75" customHeight="1">
      <c r="B47" s="80" t="s">
        <v>113</v>
      </c>
      <c r="C47" s="709" t="s">
        <v>428</v>
      </c>
      <c r="D47" s="88" t="s">
        <v>444</v>
      </c>
      <c r="E47" s="709" t="s">
        <v>442</v>
      </c>
      <c r="F47" s="88" t="s">
        <v>431</v>
      </c>
      <c r="G47" s="88" t="s">
        <v>443</v>
      </c>
      <c r="H47" s="360" t="s">
        <v>23</v>
      </c>
      <c r="I47" s="74" t="s">
        <v>23</v>
      </c>
      <c r="J47" s="78" t="s">
        <v>6</v>
      </c>
      <c r="K47" s="79" t="s">
        <v>24</v>
      </c>
      <c r="L47" s="74" t="s">
        <v>14</v>
      </c>
      <c r="M47" s="77" t="s">
        <v>24</v>
      </c>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row>
    <row r="48" spans="2:62" ht="12.75">
      <c r="B48" s="369" t="s">
        <v>198</v>
      </c>
      <c r="C48" s="711"/>
      <c r="D48" s="710">
        <f>((5*12)*C48)/600</f>
        <v>0</v>
      </c>
      <c r="E48" s="381">
        <v>14634.426229508195</v>
      </c>
      <c r="F48" s="630">
        <f>((5*12)*E48)/600</f>
        <v>1463.4426229508197</v>
      </c>
      <c r="G48" s="624">
        <f>IF(C48&gt;0,(C48+D48)/Exchange_rate,E48+F48)</f>
        <v>16097.868852459014</v>
      </c>
      <c r="H48" s="375">
        <v>1</v>
      </c>
      <c r="I48" s="382">
        <v>0.1</v>
      </c>
      <c r="J48" s="383">
        <v>1</v>
      </c>
      <c r="K48" s="378">
        <f>I48*J48*$C48</f>
        <v>0</v>
      </c>
      <c r="L48" s="372">
        <f>Hospital_circumcision_share</f>
        <v>0.002342895876795724</v>
      </c>
      <c r="M48" s="378">
        <f>H48*L48*$G48</f>
        <v>37.715630559624536</v>
      </c>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row>
    <row r="49" spans="2:62" ht="12.75">
      <c r="B49" s="369" t="s">
        <v>33</v>
      </c>
      <c r="C49" s="711"/>
      <c r="D49" s="710">
        <f>((5*12)*C49)/600</f>
        <v>0</v>
      </c>
      <c r="E49" s="381">
        <v>12001.639344262294</v>
      </c>
      <c r="F49" s="630">
        <f>((5*12)*E49)/600</f>
        <v>1200.1639344262294</v>
      </c>
      <c r="G49" s="624">
        <f>IF(C49&gt;0,(C49+D49)/Exchange_rate,E49+F49)</f>
        <v>13201.803278688523</v>
      </c>
      <c r="H49" s="375">
        <v>2</v>
      </c>
      <c r="I49" s="382"/>
      <c r="J49" s="383"/>
      <c r="K49" s="378"/>
      <c r="L49" s="372">
        <f>Hospital_circumcision_share</f>
        <v>0.002342895876795724</v>
      </c>
      <c r="M49" s="378">
        <f>H49*L49*$G49</f>
        <v>61.86090093581522</v>
      </c>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row>
    <row r="50" spans="2:62" ht="12.75">
      <c r="B50" s="369" t="s">
        <v>34</v>
      </c>
      <c r="C50" s="711"/>
      <c r="D50" s="710">
        <f>((5*12)*C50)/600</f>
        <v>0</v>
      </c>
      <c r="E50" s="381">
        <v>0</v>
      </c>
      <c r="F50" s="630">
        <f>((5*12)*E50)/600</f>
        <v>0</v>
      </c>
      <c r="G50" s="624">
        <f>IF(C50&gt;0,(C50+D50)/Exchange_rate,E50+F50)</f>
        <v>0</v>
      </c>
      <c r="H50" s="375">
        <v>0</v>
      </c>
      <c r="I50" s="382">
        <v>0.1</v>
      </c>
      <c r="J50" s="383">
        <v>1</v>
      </c>
      <c r="K50" s="378">
        <f>I50*J50*$C50</f>
        <v>0</v>
      </c>
      <c r="L50" s="372">
        <f>Hospital_circumcision_share</f>
        <v>0.002342895876795724</v>
      </c>
      <c r="M50" s="378">
        <f>H50*L50*$G50</f>
        <v>0</v>
      </c>
      <c r="N50" s="392"/>
      <c r="O50" s="392"/>
      <c r="P50" s="392"/>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row>
    <row r="51" spans="2:62" ht="12.75">
      <c r="B51" s="20" t="s">
        <v>407</v>
      </c>
      <c r="C51" s="21"/>
      <c r="D51" s="21"/>
      <c r="E51" s="21"/>
      <c r="F51" s="22"/>
      <c r="G51" s="11"/>
      <c r="H51" s="11"/>
      <c r="I51" s="22"/>
      <c r="J51" s="22"/>
      <c r="K51" s="107">
        <f>SUM(K48:K50)</f>
        <v>0</v>
      </c>
      <c r="L51" s="22"/>
      <c r="M51" s="384">
        <f>SUM(M48:M50)</f>
        <v>99.57653149543975</v>
      </c>
      <c r="N51" s="392"/>
      <c r="O51" s="392"/>
      <c r="P51" s="392"/>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row>
    <row r="52" spans="1:62" s="28" customFormat="1" ht="12.75">
      <c r="A52" s="393"/>
      <c r="B52" s="108" t="s">
        <v>35</v>
      </c>
      <c r="C52" s="109"/>
      <c r="D52" s="109"/>
      <c r="E52" s="109"/>
      <c r="F52" s="110"/>
      <c r="G52" s="305"/>
      <c r="H52" s="305"/>
      <c r="I52" s="306"/>
      <c r="J52" s="307"/>
      <c r="K52" s="308">
        <v>0</v>
      </c>
      <c r="L52" s="110"/>
      <c r="M52" s="111">
        <v>0</v>
      </c>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row>
    <row r="53" spans="2:62" ht="12.75">
      <c r="B53" s="20" t="s">
        <v>36</v>
      </c>
      <c r="C53" s="21"/>
      <c r="D53" s="21"/>
      <c r="E53" s="21"/>
      <c r="F53" s="22"/>
      <c r="G53" s="22"/>
      <c r="H53" s="11"/>
      <c r="I53" s="22"/>
      <c r="J53" s="112"/>
      <c r="K53" s="113">
        <f>SUM(K51:K52)</f>
        <v>0</v>
      </c>
      <c r="L53" s="105"/>
      <c r="M53" s="113">
        <f>SUM(M51:M52)</f>
        <v>99.57653149543975</v>
      </c>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row>
    <row r="54" spans="2:15" ht="12.75">
      <c r="B54" s="59" t="s">
        <v>406</v>
      </c>
      <c r="C54" s="22"/>
      <c r="D54" s="22"/>
      <c r="E54" s="22"/>
      <c r="F54" s="22"/>
      <c r="G54" s="22"/>
      <c r="H54" s="105"/>
      <c r="I54" s="22"/>
      <c r="J54" s="22"/>
      <c r="K54" s="104"/>
      <c r="L54" s="22"/>
      <c r="M54" s="367">
        <f>M53/Clients_MC</f>
        <v>0.3688019685016287</v>
      </c>
      <c r="N54" s="29"/>
      <c r="O54" s="29"/>
    </row>
    <row r="55" spans="14:15" ht="15">
      <c r="N55" s="29"/>
      <c r="O55" s="29"/>
    </row>
    <row r="56" spans="2:12" ht="12.75">
      <c r="B56" s="24"/>
      <c r="C56" s="25"/>
      <c r="D56" s="25"/>
      <c r="E56" s="25"/>
      <c r="F56" s="25"/>
      <c r="G56" s="25"/>
      <c r="H56" s="25"/>
      <c r="I56" s="25"/>
      <c r="J56" s="25"/>
      <c r="K56" s="25"/>
      <c r="L56" s="26"/>
    </row>
  </sheetData>
  <sheetProtection/>
  <mergeCells count="4">
    <mergeCell ref="F5:H5"/>
    <mergeCell ref="B2:C2"/>
    <mergeCell ref="B3:C3"/>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scale="21"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80"/>
  <sheetViews>
    <sheetView showGridLines="0" tabSelected="1" zoomScalePageLayoutView="0" workbookViewId="0" topLeftCell="A3">
      <selection activeCell="A3" sqref="A3"/>
    </sheetView>
  </sheetViews>
  <sheetFormatPr defaultColWidth="9.140625" defaultRowHeight="12.75"/>
  <cols>
    <col min="1" max="1" width="4.7109375" style="651" customWidth="1"/>
    <col min="2" max="2" width="38.28125" style="238" customWidth="1"/>
    <col min="3" max="3" width="18.421875" style="288" customWidth="1"/>
    <col min="4" max="4" width="10.00390625" style="118" customWidth="1"/>
    <col min="5" max="5" width="25.8515625" style="118" customWidth="1"/>
    <col min="6" max="6" width="8.00390625" style="119" customWidth="1"/>
    <col min="7" max="7" width="10.7109375" style="653" customWidth="1"/>
    <col min="8" max="8" width="10.7109375" style="654" customWidth="1"/>
    <col min="9" max="9" width="10.8515625" style="654" customWidth="1"/>
    <col min="10" max="10" width="10.8515625" style="654" hidden="1" customWidth="1"/>
    <col min="11" max="11" width="12.00390625" style="655" customWidth="1" collapsed="1"/>
    <col min="12" max="12" width="12.00390625" style="654" hidden="1" customWidth="1"/>
    <col min="13" max="13" width="33.421875" style="656" customWidth="1" collapsed="1"/>
    <col min="14" max="14" width="6.8515625" style="657" customWidth="1"/>
    <col min="15" max="16" width="9.140625" style="658" customWidth="1"/>
    <col min="17" max="32" width="9.140625" style="651" customWidth="1" collapsed="1"/>
    <col min="33" max="66" width="9.140625" style="651" customWidth="1"/>
    <col min="67" max="16384" width="9.140625" style="285" customWidth="1"/>
  </cols>
  <sheetData>
    <row r="1" ht="4.5" customHeight="1" hidden="1"/>
    <row r="2" ht="56.25" customHeight="1" hidden="1"/>
    <row r="3" spans="2:6" ht="18">
      <c r="B3" s="679" t="s">
        <v>350</v>
      </c>
      <c r="D3" s="718" t="s">
        <v>342</v>
      </c>
      <c r="E3" s="719"/>
      <c r="F3" s="719"/>
    </row>
    <row r="4" spans="1:66" s="135" customFormat="1" ht="12.75">
      <c r="A4" s="652"/>
      <c r="B4" s="721" t="s">
        <v>106</v>
      </c>
      <c r="C4" s="721"/>
      <c r="D4" s="33"/>
      <c r="E4" s="33"/>
      <c r="F4" s="33"/>
      <c r="G4" s="659"/>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c r="BM4" s="652"/>
      <c r="BN4" s="652"/>
    </row>
    <row r="5" spans="1:66" s="135" customFormat="1" ht="12.75">
      <c r="A5" s="652"/>
      <c r="B5" s="720" t="s">
        <v>282</v>
      </c>
      <c r="C5" s="720"/>
      <c r="D5" s="33"/>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row>
    <row r="6" spans="1:66" s="83" customFormat="1" ht="18" hidden="1">
      <c r="A6" s="619"/>
      <c r="B6" s="84" t="s">
        <v>317</v>
      </c>
      <c r="C6" s="731" t="s">
        <v>288</v>
      </c>
      <c r="D6" s="719"/>
      <c r="E6" s="731" t="s">
        <v>289</v>
      </c>
      <c r="F6" s="719"/>
      <c r="G6" s="620"/>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row>
    <row r="7" spans="1:66" s="83" customFormat="1" ht="12.75" hidden="1">
      <c r="A7" s="619"/>
      <c r="C7" s="622">
        <f>'Unit Cost Calculation'!C24</f>
        <v>38.86496374505786</v>
      </c>
      <c r="E7" s="623">
        <f>'Unit Cost Calculation'!E24</f>
        <v>31.501646161861135</v>
      </c>
      <c r="F7"/>
      <c r="G7" s="620"/>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row>
    <row r="8" spans="1:66" s="83" customFormat="1" ht="12.75">
      <c r="A8" s="619"/>
      <c r="C8" s="667"/>
      <c r="E8" s="668"/>
      <c r="F8"/>
      <c r="G8" s="620"/>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row>
    <row r="10" spans="1:66" s="286" customFormat="1" ht="18">
      <c r="A10" s="651"/>
      <c r="B10" s="732" t="s">
        <v>233</v>
      </c>
      <c r="C10" s="719"/>
      <c r="D10" s="719"/>
      <c r="E10" s="719"/>
      <c r="F10" s="719"/>
      <c r="G10" s="660"/>
      <c r="H10" s="661"/>
      <c r="I10" s="661"/>
      <c r="J10" s="661"/>
      <c r="K10" s="662"/>
      <c r="L10" s="661"/>
      <c r="M10" s="662"/>
      <c r="N10" s="663"/>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1"/>
      <c r="BK10" s="651"/>
      <c r="BL10" s="651"/>
      <c r="BM10" s="651"/>
      <c r="BN10" s="651"/>
    </row>
    <row r="11" spans="1:66" s="135" customFormat="1" ht="12.75">
      <c r="A11" s="652"/>
      <c r="B11" s="329"/>
      <c r="C11" s="312"/>
      <c r="D11" s="33"/>
      <c r="E11" s="33"/>
      <c r="F11" s="33"/>
      <c r="G11" s="659"/>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row>
    <row r="12" spans="2:7" ht="15.75">
      <c r="B12" s="271" t="s">
        <v>208</v>
      </c>
      <c r="C12" s="731" t="s">
        <v>288</v>
      </c>
      <c r="D12" s="719"/>
      <c r="E12" s="731" t="s">
        <v>398</v>
      </c>
      <c r="F12" s="719"/>
      <c r="G12" s="664"/>
    </row>
    <row r="13" spans="2:7" ht="12.75">
      <c r="B13" s="394" t="s">
        <v>224</v>
      </c>
      <c r="C13" s="395">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13.679743396721312</v>
      </c>
      <c r="D13" s="396">
        <f>C13/C$24</f>
        <v>0.3519813754737094</v>
      </c>
      <c r="E13" s="395">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10.5380899431694</v>
      </c>
      <c r="F13" s="396">
        <f>F68</f>
        <v>0.3336854354642371</v>
      </c>
      <c r="G13" s="664"/>
    </row>
    <row r="14" spans="2:7" ht="12.75">
      <c r="B14" s="394" t="s">
        <v>205</v>
      </c>
      <c r="C14" s="395">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0.22533363169398912</v>
      </c>
      <c r="D14" s="396">
        <f>C14/C$24</f>
        <v>0.005797860334364598</v>
      </c>
      <c r="E14" s="395">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396">
        <f>F69</f>
        <v>0.007168661784269123</v>
      </c>
      <c r="G14" s="664"/>
    </row>
    <row r="15" spans="2:7" ht="12.75">
      <c r="B15" s="394" t="s">
        <v>339</v>
      </c>
      <c r="C15" s="395">
        <f>('Share of Facility Time'!E14*'Direct Cost - Personnel'!D33)+('Share of Facility Time'!E19*'Direct Cost - Personnel'!F33)+('Share of Facility Time'!E20*'Direct Cost - Personnel'!H33)+('Share of Facility Time'!E21*'Direct Cost - Personnel'!J33)+('Share of Facility Time'!E22*'Direct Cost - Personnel'!L33)</f>
        <v>16.10805578039617</v>
      </c>
      <c r="D15" s="396">
        <f>C15/C$24</f>
        <v>0.4144621331968823</v>
      </c>
      <c r="E15" s="395">
        <f>('Share of Facility Time'!G14*'Direct Cost - Personnel'!E33)+('Share of Facility Time'!G19*'Direct Cost - Personnel'!G33)+('Share of Facility Time'!G20*'Direct Cost - Personnel'!I33)+('Share of Facility Time'!G21*'Direct Cost - Personnel'!K33)+('Share of Facility Time'!G22*'Direct Cost - Personnel'!M33)</f>
        <v>11.887071200478141</v>
      </c>
      <c r="F15" s="396">
        <f>F70</f>
        <v>0.37753262155584466</v>
      </c>
      <c r="G15" s="664"/>
    </row>
    <row r="16" spans="2:7" ht="12.75">
      <c r="B16" s="394" t="s">
        <v>255</v>
      </c>
      <c r="C16" s="395">
        <f>'Direct Cost - Training'!C39</f>
        <v>1.5179113539769276</v>
      </c>
      <c r="D16" s="396">
        <f>C16/C$24</f>
        <v>0.03905603421976556</v>
      </c>
      <c r="E16" s="395">
        <f>'Direct Cost - Training'!C39</f>
        <v>1.5179113539769276</v>
      </c>
      <c r="F16" s="396">
        <f>F71</f>
        <v>0.04829102589467655</v>
      </c>
      <c r="G16" s="664"/>
    </row>
    <row r="17" spans="2:7" ht="12.75">
      <c r="B17" s="398" t="s">
        <v>204</v>
      </c>
      <c r="C17" s="405">
        <f>SUM(C13:C16)</f>
        <v>31.531044162788398</v>
      </c>
      <c r="D17" s="396">
        <f>C17/C$24</f>
        <v>0.8112974032247218</v>
      </c>
      <c r="E17" s="405">
        <f>SUM(E13:E16)</f>
        <v>24.16772657959168</v>
      </c>
      <c r="F17" s="396">
        <f>F72</f>
        <v>0.7666777446990274</v>
      </c>
      <c r="G17" s="664"/>
    </row>
    <row r="18" spans="2:7" ht="15.75">
      <c r="B18" s="271" t="s">
        <v>209</v>
      </c>
      <c r="C18" s="731" t="s">
        <v>288</v>
      </c>
      <c r="D18" s="719"/>
      <c r="E18" s="731" t="s">
        <v>398</v>
      </c>
      <c r="F18" s="719"/>
      <c r="G18" s="664"/>
    </row>
    <row r="19" spans="2:7" ht="12.75">
      <c r="B19" s="394" t="s">
        <v>206</v>
      </c>
      <c r="C19" s="395">
        <f>'Indirect Cost - Capital'!I$26</f>
        <v>2.0720272296105433</v>
      </c>
      <c r="D19" s="396">
        <f aca="true" t="shared" si="0" ref="D19:D24">C19/C$24</f>
        <v>0.053313499613749836</v>
      </c>
      <c r="E19" s="395">
        <f>'Indirect Cost - Capital'!I$26</f>
        <v>2.0720272296105433</v>
      </c>
      <c r="F19" s="406">
        <f>E19/E$80</f>
        <v>0.06591973921101495</v>
      </c>
      <c r="G19" s="664"/>
    </row>
    <row r="20" spans="2:7" ht="12.75" customHeight="1">
      <c r="B20" s="394" t="s">
        <v>212</v>
      </c>
      <c r="C20" s="395">
        <f>'Indirect Cost - Overheads'!H$11</f>
        <v>3.100154818249307</v>
      </c>
      <c r="D20" s="396">
        <f t="shared" si="0"/>
        <v>0.07976734105775483</v>
      </c>
      <c r="E20" s="395">
        <f>'Indirect Cost - Overheads'!H$11</f>
        <v>3.100154818249307</v>
      </c>
      <c r="F20" s="406">
        <f>E20/E$80</f>
        <v>0.09862872177175845</v>
      </c>
      <c r="G20" s="665"/>
    </row>
    <row r="21" spans="2:7" ht="12.75">
      <c r="B21" s="394" t="s">
        <v>340</v>
      </c>
      <c r="C21" s="395">
        <f>'Indirect Cost - Overheads'!M$43</f>
        <v>1.7929355659079775</v>
      </c>
      <c r="D21" s="396">
        <f t="shared" si="0"/>
        <v>0.04613243891513911</v>
      </c>
      <c r="E21" s="395">
        <f>'Indirect Cost - Overheads'!M$43</f>
        <v>1.7929355659079775</v>
      </c>
      <c r="F21" s="406">
        <f>E21/E$80</f>
        <v>0.05704068133748525</v>
      </c>
      <c r="G21" s="666"/>
    </row>
    <row r="22" spans="2:7" ht="12.75">
      <c r="B22" s="394" t="s">
        <v>243</v>
      </c>
      <c r="C22" s="395">
        <f>'Indirect Cost - Overheads'!M$54</f>
        <v>0.3688019685016287</v>
      </c>
      <c r="D22" s="396">
        <f t="shared" si="0"/>
        <v>0.009489317188634359</v>
      </c>
      <c r="E22" s="395">
        <f>'Indirect Cost - Overheads'!M$54</f>
        <v>0.3688019685016287</v>
      </c>
      <c r="F22" s="406">
        <f>E22/E$80</f>
        <v>0.011733112980713991</v>
      </c>
      <c r="G22" s="664"/>
    </row>
    <row r="23" spans="2:6" ht="12.75">
      <c r="B23" s="398" t="s">
        <v>204</v>
      </c>
      <c r="C23" s="405">
        <f>SUM(C19:C22)</f>
        <v>7.3339195822694565</v>
      </c>
      <c r="D23" s="396">
        <f t="shared" si="0"/>
        <v>0.18870259677527815</v>
      </c>
      <c r="E23" s="405">
        <f>SUM(E19:E22)</f>
        <v>7.3339195822694565</v>
      </c>
      <c r="F23" s="406">
        <f>E23/E$80</f>
        <v>0.23332225530097264</v>
      </c>
    </row>
    <row r="24" spans="2:6" ht="15.75">
      <c r="B24" s="404" t="s">
        <v>211</v>
      </c>
      <c r="C24" s="640">
        <f>C17+C23</f>
        <v>38.86496374505786</v>
      </c>
      <c r="D24" s="309">
        <f t="shared" si="0"/>
        <v>1</v>
      </c>
      <c r="E24" s="640">
        <f>E17+E23</f>
        <v>31.501646161861135</v>
      </c>
      <c r="F24" s="309">
        <f>E24/E$24</f>
        <v>1</v>
      </c>
    </row>
    <row r="25" spans="3:4" ht="12.75">
      <c r="C25" s="333">
        <f>(C24-C$80)/C$80</f>
        <v>0.01529453402060756</v>
      </c>
      <c r="D25" s="334">
        <f>C24-C80</f>
        <v>0.585467064275953</v>
      </c>
    </row>
    <row r="26" ht="12.75" hidden="1"/>
    <row r="27" spans="1:66" s="286" customFormat="1" ht="18" hidden="1">
      <c r="A27" s="651"/>
      <c r="B27" s="127" t="s">
        <v>232</v>
      </c>
      <c r="C27" s="289"/>
      <c r="D27" s="129"/>
      <c r="E27" s="129"/>
      <c r="F27" s="130"/>
      <c r="G27" s="660"/>
      <c r="H27" s="661"/>
      <c r="I27" s="661"/>
      <c r="J27" s="661"/>
      <c r="K27" s="662"/>
      <c r="L27" s="661"/>
      <c r="M27" s="662"/>
      <c r="N27" s="663"/>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row>
    <row r="28" spans="1:66" s="135" customFormat="1" ht="12.75" hidden="1">
      <c r="A28" s="652"/>
      <c r="B28" s="329"/>
      <c r="C28" s="312"/>
      <c r="D28" s="33"/>
      <c r="E28" s="33"/>
      <c r="F28" s="33"/>
      <c r="G28" s="659"/>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row>
    <row r="29" spans="1:66" s="135" customFormat="1" ht="12.75" hidden="1">
      <c r="A29" s="652"/>
      <c r="B29" s="330"/>
      <c r="C29" s="312"/>
      <c r="D29" s="33"/>
      <c r="E29" s="332"/>
      <c r="F29" s="33"/>
      <c r="G29" s="659"/>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row>
    <row r="30" spans="2:7" ht="15.75" hidden="1">
      <c r="B30" s="271" t="s">
        <v>208</v>
      </c>
      <c r="C30" s="331"/>
      <c r="D30" s="167"/>
      <c r="E30" s="167"/>
      <c r="F30" s="250"/>
      <c r="G30" s="664"/>
    </row>
    <row r="31" spans="2:7" ht="12.75" hidden="1">
      <c r="B31" s="287" t="s">
        <v>224</v>
      </c>
      <c r="C31" s="290">
        <f>'Direct Cost - Drugs &amp; Supplies'!C203</f>
        <v>21.779801912568303</v>
      </c>
      <c r="D31" s="335">
        <f>C31/C$42</f>
        <v>0.44067536169175975</v>
      </c>
      <c r="E31" s="326"/>
      <c r="F31" s="250"/>
      <c r="G31" s="664"/>
    </row>
    <row r="32" spans="2:7" ht="12.75" hidden="1">
      <c r="B32" s="287" t="s">
        <v>205</v>
      </c>
      <c r="C32" s="290">
        <f>'Direct Cost - Drugs &amp; Supplies'!C204</f>
        <v>0.22551693989071042</v>
      </c>
      <c r="D32" s="309">
        <f>C32/C$42</f>
        <v>0.004562932181518572</v>
      </c>
      <c r="E32" s="167"/>
      <c r="F32" s="250"/>
      <c r="G32" s="664"/>
    </row>
    <row r="33" spans="2:7" ht="12.75" hidden="1">
      <c r="B33" s="287" t="s">
        <v>210</v>
      </c>
      <c r="C33" s="290">
        <f>'Direct Cost - Personnel'!F33</f>
        <v>20.084450307377047</v>
      </c>
      <c r="D33" s="309">
        <f>C33/C$42</f>
        <v>0.4063729522937551</v>
      </c>
      <c r="E33" s="167"/>
      <c r="F33" s="250"/>
      <c r="G33" s="664"/>
    </row>
    <row r="34" spans="2:7" ht="12.75" hidden="1">
      <c r="B34" s="310" t="s">
        <v>204</v>
      </c>
      <c r="C34" s="311">
        <f>SUM(C31:C33)</f>
        <v>42.08976915983606</v>
      </c>
      <c r="D34" s="309">
        <f>C34/C$42</f>
        <v>0.8516112461670334</v>
      </c>
      <c r="E34" s="167"/>
      <c r="F34" s="250"/>
      <c r="G34" s="664"/>
    </row>
    <row r="35" spans="2:7" ht="15.75" hidden="1">
      <c r="B35" s="271" t="s">
        <v>209</v>
      </c>
      <c r="C35" s="290"/>
      <c r="D35" s="309"/>
      <c r="E35" s="167"/>
      <c r="F35" s="250"/>
      <c r="G35" s="664"/>
    </row>
    <row r="36" spans="2:7" ht="12.75" hidden="1">
      <c r="B36" s="287" t="s">
        <v>206</v>
      </c>
      <c r="C36" s="290">
        <f>'Indirect Cost - Capital'!I$26</f>
        <v>2.0720272296105433</v>
      </c>
      <c r="D36" s="309">
        <f>C36/C$42</f>
        <v>0.0419237673744356</v>
      </c>
      <c r="E36" s="167"/>
      <c r="F36" s="250"/>
      <c r="G36" s="664"/>
    </row>
    <row r="37" spans="2:7" ht="12.75" customHeight="1" hidden="1">
      <c r="B37" s="287" t="s">
        <v>212</v>
      </c>
      <c r="C37" s="290">
        <f>'Indirect Cost - Overheads'!H$11</f>
        <v>3.100154818249307</v>
      </c>
      <c r="D37" s="309">
        <f>C37/C$42</f>
        <v>0.06272609141794372</v>
      </c>
      <c r="E37" s="167"/>
      <c r="F37" s="250"/>
      <c r="G37" s="665"/>
    </row>
    <row r="38" spans="2:7" ht="12.75" hidden="1">
      <c r="B38" s="287" t="s">
        <v>207</v>
      </c>
      <c r="C38" s="290">
        <f>'Indirect Cost - Overheads'!M$43</f>
        <v>1.7929355659079775</v>
      </c>
      <c r="D38" s="309">
        <f>C38/C$42</f>
        <v>0.036276846417991504</v>
      </c>
      <c r="E38" s="167"/>
      <c r="F38" s="250"/>
      <c r="G38" s="666"/>
    </row>
    <row r="39" spans="2:7" ht="12.75" hidden="1">
      <c r="B39" s="287" t="s">
        <v>243</v>
      </c>
      <c r="C39" s="290">
        <f>'Indirect Cost - Overheads'!M$54</f>
        <v>0.3688019685016287</v>
      </c>
      <c r="D39" s="309">
        <f>C39/C$42</f>
        <v>0.0074620486225957326</v>
      </c>
      <c r="E39" s="167"/>
      <c r="F39" s="250"/>
      <c r="G39" s="664"/>
    </row>
    <row r="40" spans="2:6" ht="12.75" hidden="1">
      <c r="B40" s="310" t="s">
        <v>204</v>
      </c>
      <c r="C40" s="311">
        <f>SUM(C36:C39)</f>
        <v>7.3339195822694565</v>
      </c>
      <c r="D40" s="309">
        <f>C40/C$42</f>
        <v>0.14838875383296657</v>
      </c>
      <c r="E40" s="167"/>
      <c r="F40" s="250"/>
    </row>
    <row r="41" spans="2:6" ht="12.75" hidden="1">
      <c r="B41" s="287"/>
      <c r="C41" s="290"/>
      <c r="D41" s="309"/>
      <c r="E41" s="167"/>
      <c r="F41" s="250"/>
    </row>
    <row r="42" spans="2:6" ht="15.75" hidden="1">
      <c r="B42" s="271" t="s">
        <v>211</v>
      </c>
      <c r="C42" s="327">
        <f>C34+C40</f>
        <v>49.42368874210552</v>
      </c>
      <c r="D42" s="309">
        <f>C42/C$42</f>
        <v>1</v>
      </c>
      <c r="E42" s="333">
        <f>(C42-C$80)/C$80</f>
        <v>0.2911269224424918</v>
      </c>
      <c r="F42" s="250"/>
    </row>
    <row r="43" ht="12.75" hidden="1"/>
    <row r="44" ht="12.75" hidden="1"/>
    <row r="45" spans="1:66" s="286" customFormat="1" ht="18" hidden="1">
      <c r="A45" s="651"/>
      <c r="B45" s="127" t="s">
        <v>231</v>
      </c>
      <c r="C45" s="289"/>
      <c r="D45" s="129"/>
      <c r="E45" s="129"/>
      <c r="F45" s="130"/>
      <c r="G45" s="660"/>
      <c r="H45" s="661"/>
      <c r="I45" s="661"/>
      <c r="J45" s="661"/>
      <c r="K45" s="662"/>
      <c r="L45" s="661"/>
      <c r="M45" s="662"/>
      <c r="N45" s="663"/>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1"/>
      <c r="BI45" s="651"/>
      <c r="BJ45" s="651"/>
      <c r="BK45" s="651"/>
      <c r="BL45" s="651"/>
      <c r="BM45" s="651"/>
      <c r="BN45" s="651"/>
    </row>
    <row r="46" spans="1:66" s="135" customFormat="1" ht="12.75" hidden="1">
      <c r="A46" s="652"/>
      <c r="B46" s="329"/>
      <c r="C46" s="312"/>
      <c r="D46" s="33"/>
      <c r="E46" s="33"/>
      <c r="F46" s="33"/>
      <c r="G46" s="659"/>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row>
    <row r="47" spans="1:66" s="135" customFormat="1" ht="12.75" hidden="1">
      <c r="A47" s="652"/>
      <c r="B47" s="330"/>
      <c r="C47" s="312"/>
      <c r="D47" s="33"/>
      <c r="E47" s="332"/>
      <c r="F47" s="33"/>
      <c r="G47" s="659"/>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row>
    <row r="48" spans="2:7" ht="15.75" hidden="1">
      <c r="B48" s="271" t="s">
        <v>208</v>
      </c>
      <c r="C48" s="331"/>
      <c r="D48" s="167"/>
      <c r="E48" s="167"/>
      <c r="F48" s="250"/>
      <c r="G48" s="664"/>
    </row>
    <row r="49" spans="2:7" ht="12.75" hidden="1">
      <c r="B49" s="287" t="s">
        <v>224</v>
      </c>
      <c r="C49" s="290">
        <f>'Direct Cost - Drugs &amp; Supplies'!C210</f>
        <v>15.696399544626594</v>
      </c>
      <c r="D49" s="309">
        <f>C49/C$60</f>
        <v>0.3770179805012221</v>
      </c>
      <c r="E49" s="326"/>
      <c r="F49" s="250"/>
      <c r="G49" s="664"/>
    </row>
    <row r="50" spans="2:7" ht="12.75" hidden="1">
      <c r="B50" s="287" t="s">
        <v>205</v>
      </c>
      <c r="C50" s="290">
        <f>'Direct Cost - Drugs &amp; Supplies'!C211</f>
        <v>0.22532950819672135</v>
      </c>
      <c r="D50" s="309">
        <f>C50/C$60</f>
        <v>0.005412277884882449</v>
      </c>
      <c r="E50" s="167"/>
      <c r="F50" s="250"/>
      <c r="G50" s="664"/>
    </row>
    <row r="51" spans="2:7" ht="12.75" hidden="1">
      <c r="B51" s="287" t="s">
        <v>210</v>
      </c>
      <c r="C51" s="290">
        <f>'Direct Cost - Personnel'!H33</f>
        <v>18.37737778916211</v>
      </c>
      <c r="D51" s="309">
        <f>C51/C$60</f>
        <v>0.4414134490702237</v>
      </c>
      <c r="E51" s="167"/>
      <c r="F51" s="250"/>
      <c r="G51" s="664"/>
    </row>
    <row r="52" spans="2:7" ht="12.75" hidden="1">
      <c r="B52" s="310" t="s">
        <v>204</v>
      </c>
      <c r="C52" s="311">
        <f>SUM(C49:C51)</f>
        <v>34.29910684198543</v>
      </c>
      <c r="D52" s="309">
        <f>C52/C$60</f>
        <v>0.8238437074563283</v>
      </c>
      <c r="E52" s="167"/>
      <c r="F52" s="250"/>
      <c r="G52" s="664"/>
    </row>
    <row r="53" spans="2:7" ht="15.75" hidden="1">
      <c r="B53" s="271" t="s">
        <v>209</v>
      </c>
      <c r="C53" s="290"/>
      <c r="D53" s="309"/>
      <c r="E53" s="167"/>
      <c r="F53" s="250"/>
      <c r="G53" s="664"/>
    </row>
    <row r="54" spans="2:7" ht="12.75" hidden="1">
      <c r="B54" s="287" t="s">
        <v>206</v>
      </c>
      <c r="C54" s="290">
        <f>'Indirect Cost - Capital'!I$26</f>
        <v>2.0720272296105433</v>
      </c>
      <c r="D54" s="309">
        <f>C54/C$60</f>
        <v>0.049768835166962684</v>
      </c>
      <c r="E54" s="167"/>
      <c r="F54" s="250"/>
      <c r="G54" s="664"/>
    </row>
    <row r="55" spans="2:7" ht="12.75" customHeight="1" hidden="1">
      <c r="B55" s="287" t="s">
        <v>212</v>
      </c>
      <c r="C55" s="290">
        <f>'Indirect Cost - Overheads'!H$11</f>
        <v>3.100154818249307</v>
      </c>
      <c r="D55" s="309">
        <f>C55/C$60</f>
        <v>0.07446383519318679</v>
      </c>
      <c r="E55" s="167"/>
      <c r="F55" s="250"/>
      <c r="G55" s="665"/>
    </row>
    <row r="56" spans="2:7" ht="12.75" hidden="1">
      <c r="B56" s="287" t="s">
        <v>207</v>
      </c>
      <c r="C56" s="290">
        <f>'Indirect Cost - Overheads'!M$43</f>
        <v>1.7929355659079775</v>
      </c>
      <c r="D56" s="309">
        <f>C56/C$60</f>
        <v>0.04306522297075755</v>
      </c>
      <c r="E56" s="167"/>
      <c r="F56" s="250"/>
      <c r="G56" s="666"/>
    </row>
    <row r="57" spans="2:7" ht="12.75" hidden="1">
      <c r="B57" s="287" t="s">
        <v>243</v>
      </c>
      <c r="C57" s="290">
        <f>'Indirect Cost - Overheads'!M$54</f>
        <v>0.3688019685016287</v>
      </c>
      <c r="D57" s="309">
        <f>C57/C$60</f>
        <v>0.008858399212764635</v>
      </c>
      <c r="E57" s="167"/>
      <c r="F57" s="250"/>
      <c r="G57" s="664"/>
    </row>
    <row r="58" spans="2:6" ht="12.75" hidden="1">
      <c r="B58" s="310" t="s">
        <v>204</v>
      </c>
      <c r="C58" s="311">
        <f>SUM(C54:C57)</f>
        <v>7.3339195822694565</v>
      </c>
      <c r="D58" s="309">
        <f>C58/C$60</f>
        <v>0.17615629254367166</v>
      </c>
      <c r="E58" s="167"/>
      <c r="F58" s="250"/>
    </row>
    <row r="59" spans="2:6" ht="12.75" hidden="1">
      <c r="B59" s="287"/>
      <c r="C59" s="290"/>
      <c r="D59" s="309"/>
      <c r="E59" s="167"/>
      <c r="F59" s="250"/>
    </row>
    <row r="60" spans="2:6" ht="15.75" hidden="1">
      <c r="B60" s="271" t="s">
        <v>211</v>
      </c>
      <c r="C60" s="327">
        <f>C52+C58</f>
        <v>41.633026424254886</v>
      </c>
      <c r="D60" s="309">
        <f>C60/C$60</f>
        <v>1</v>
      </c>
      <c r="E60" s="333">
        <f>(C60-C$80)/C$80</f>
        <v>0.08760642208643803</v>
      </c>
      <c r="F60" s="250"/>
    </row>
    <row r="61" ht="12.75" hidden="1"/>
    <row r="62" ht="12.75" hidden="1"/>
    <row r="63" ht="12.75" hidden="1"/>
    <row r="65" spans="1:66" s="286" customFormat="1" ht="18">
      <c r="A65" s="651"/>
      <c r="B65" s="732" t="s">
        <v>225</v>
      </c>
      <c r="C65" s="719"/>
      <c r="D65" s="719"/>
      <c r="E65" s="719"/>
      <c r="F65" s="719"/>
      <c r="G65" s="660"/>
      <c r="H65" s="661"/>
      <c r="I65" s="661"/>
      <c r="J65" s="661"/>
      <c r="K65" s="662"/>
      <c r="L65" s="661"/>
      <c r="M65" s="662"/>
      <c r="N65" s="663"/>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651"/>
      <c r="BA65" s="651"/>
      <c r="BB65" s="651"/>
      <c r="BC65" s="651"/>
      <c r="BD65" s="651"/>
      <c r="BE65" s="651"/>
      <c r="BF65" s="651"/>
      <c r="BG65" s="651"/>
      <c r="BH65" s="651"/>
      <c r="BI65" s="651"/>
      <c r="BJ65" s="651"/>
      <c r="BK65" s="651"/>
      <c r="BL65" s="651"/>
      <c r="BM65" s="651"/>
      <c r="BN65" s="651"/>
    </row>
    <row r="67" spans="2:7" ht="15.75">
      <c r="B67" s="271" t="s">
        <v>208</v>
      </c>
      <c r="C67" s="731" t="s">
        <v>288</v>
      </c>
      <c r="D67" s="719"/>
      <c r="E67" s="731" t="s">
        <v>398</v>
      </c>
      <c r="F67" s="719"/>
      <c r="G67" s="664"/>
    </row>
    <row r="68" spans="2:7" ht="12.75">
      <c r="B68" s="394" t="s">
        <v>227</v>
      </c>
      <c r="C68" s="395">
        <f>'Direct Cost - Drugs &amp; Supplies'!C189</f>
        <v>13.346136156648452</v>
      </c>
      <c r="D68" s="396">
        <f>C68/C$80</f>
        <v>0.34864972933013605</v>
      </c>
      <c r="E68" s="395">
        <f>'Direct Cost - Drugs &amp; Supplies'!C196</f>
        <v>10.488592896174863</v>
      </c>
      <c r="F68" s="396">
        <f>E68/E$80</f>
        <v>0.3336854354642371</v>
      </c>
      <c r="G68" s="664"/>
    </row>
    <row r="69" spans="2:7" ht="12.75">
      <c r="B69" s="394" t="s">
        <v>205</v>
      </c>
      <c r="C69" s="395">
        <f>'Direct Cost - Drugs &amp; Supplies'!C190</f>
        <v>0.22532950819672135</v>
      </c>
      <c r="D69" s="397">
        <f>C69/C$80</f>
        <v>0.005886428185714555</v>
      </c>
      <c r="E69" s="395">
        <f>'Direct Cost - Drugs &amp; Supplies'!C197</f>
        <v>0.22532950819672135</v>
      </c>
      <c r="F69" s="397">
        <f>E69/E$80</f>
        <v>0.007168661784269123</v>
      </c>
      <c r="G69" s="664"/>
    </row>
    <row r="70" spans="2:7" ht="12.75">
      <c r="B70" s="394" t="s">
        <v>339</v>
      </c>
      <c r="C70" s="395">
        <f>'Direct Cost - Personnel'!D33</f>
        <v>15.856200079690344</v>
      </c>
      <c r="D70" s="396">
        <f>C70/C$80</f>
        <v>0.41422174935886497</v>
      </c>
      <c r="E70" s="395">
        <f>'Direct Cost - Personnel'!E33</f>
        <v>11.866822916666667</v>
      </c>
      <c r="F70" s="396">
        <f>E70/E$80</f>
        <v>0.37753262155584466</v>
      </c>
      <c r="G70" s="664"/>
    </row>
    <row r="71" spans="2:7" ht="12.75">
      <c r="B71" s="394" t="s">
        <v>255</v>
      </c>
      <c r="C71" s="395">
        <f>'Direct Cost - Training'!C39</f>
        <v>1.5179113539769276</v>
      </c>
      <c r="D71" s="396">
        <f>C71/C$80</f>
        <v>0.039653378063849776</v>
      </c>
      <c r="E71" s="395">
        <f>'Direct Cost - Training'!C39</f>
        <v>1.5179113539769276</v>
      </c>
      <c r="F71" s="396">
        <f>E71/E$80</f>
        <v>0.04829102589467655</v>
      </c>
      <c r="G71" s="664"/>
    </row>
    <row r="72" spans="2:7" ht="12.75">
      <c r="B72" s="398" t="s">
        <v>204</v>
      </c>
      <c r="C72" s="399">
        <f>SUM(C68:C71)</f>
        <v>30.945577098512445</v>
      </c>
      <c r="D72" s="400">
        <f>C72/C$80</f>
        <v>0.8084112849385653</v>
      </c>
      <c r="E72" s="399">
        <f>SUM(E68:E71)</f>
        <v>24.098656675015178</v>
      </c>
      <c r="F72" s="400">
        <f>E72/E$80</f>
        <v>0.7666777446990274</v>
      </c>
      <c r="G72" s="664"/>
    </row>
    <row r="73" spans="2:7" ht="15.75">
      <c r="B73" s="271" t="s">
        <v>209</v>
      </c>
      <c r="C73" s="731" t="s">
        <v>288</v>
      </c>
      <c r="D73" s="719"/>
      <c r="E73" s="731" t="s">
        <v>398</v>
      </c>
      <c r="F73" s="719"/>
      <c r="G73" s="664"/>
    </row>
    <row r="74" spans="2:7" ht="12.75">
      <c r="B74" s="394" t="s">
        <v>206</v>
      </c>
      <c r="C74" s="395">
        <f>'Indirect Cost - Capital'!I$26</f>
        <v>2.0720272296105433</v>
      </c>
      <c r="D74" s="396">
        <f>C74/C$80</f>
        <v>0.05412890474734998</v>
      </c>
      <c r="E74" s="395">
        <f>'Indirect Cost - Capital'!I$26</f>
        <v>2.0720272296105433</v>
      </c>
      <c r="F74" s="396">
        <f>E74/E$80</f>
        <v>0.06591973921101495</v>
      </c>
      <c r="G74" s="664"/>
    </row>
    <row r="75" spans="2:7" ht="12.75" customHeight="1">
      <c r="B75" s="394" t="s">
        <v>212</v>
      </c>
      <c r="C75" s="395">
        <f>'Indirect Cost - Overheads'!H$11</f>
        <v>3.100154818249307</v>
      </c>
      <c r="D75" s="396">
        <f>C75/C$80</f>
        <v>0.08098734536929608</v>
      </c>
      <c r="E75" s="395">
        <f>'Indirect Cost - Overheads'!H$11</f>
        <v>3.100154818249307</v>
      </c>
      <c r="F75" s="396">
        <f>E75/E$80</f>
        <v>0.09862872177175845</v>
      </c>
      <c r="G75" s="665"/>
    </row>
    <row r="76" spans="2:7" ht="12.75">
      <c r="B76" s="394" t="s">
        <v>340</v>
      </c>
      <c r="C76" s="395">
        <f>'Indirect Cost - Overheads'!M$43</f>
        <v>1.7929355659079775</v>
      </c>
      <c r="D76" s="396">
        <f>C76/C$80</f>
        <v>0.0468380130715803</v>
      </c>
      <c r="E76" s="395">
        <f>'Indirect Cost - Overheads'!M$43</f>
        <v>1.7929355659079775</v>
      </c>
      <c r="F76" s="396">
        <f>E76/E$80</f>
        <v>0.05704068133748525</v>
      </c>
      <c r="G76" s="666"/>
    </row>
    <row r="77" spans="2:7" ht="12.75">
      <c r="B77" s="394" t="s">
        <v>243</v>
      </c>
      <c r="C77" s="395">
        <f>'Indirect Cost - Overheads'!M$54</f>
        <v>0.3688019685016287</v>
      </c>
      <c r="D77" s="396">
        <f>C77/C$80</f>
        <v>0.009634451873208263</v>
      </c>
      <c r="E77" s="395">
        <f>'Indirect Cost - Overheads'!M$54</f>
        <v>0.3688019685016287</v>
      </c>
      <c r="F77" s="396">
        <f>E77/E$80</f>
        <v>0.011733112980713991</v>
      </c>
      <c r="G77" s="664"/>
    </row>
    <row r="78" spans="2:6" ht="12.75">
      <c r="B78" s="398" t="s">
        <v>204</v>
      </c>
      <c r="C78" s="399">
        <f>SUM(C74:C77)</f>
        <v>7.3339195822694565</v>
      </c>
      <c r="D78" s="400">
        <f>C78/C$80</f>
        <v>0.19158871506143463</v>
      </c>
      <c r="E78" s="399">
        <f>SUM(E74:E77)</f>
        <v>7.3339195822694565</v>
      </c>
      <c r="F78" s="400">
        <f>E78/E$80</f>
        <v>0.23332225530097264</v>
      </c>
    </row>
    <row r="79" spans="2:6" ht="12.75">
      <c r="B79" s="394"/>
      <c r="C79" s="395"/>
      <c r="D79" s="396"/>
      <c r="E79" s="401"/>
      <c r="F79" s="402"/>
    </row>
    <row r="80" spans="2:6" ht="15.75">
      <c r="B80" s="403" t="s">
        <v>211</v>
      </c>
      <c r="C80" s="327">
        <f>C72+C78</f>
        <v>38.279496680781904</v>
      </c>
      <c r="D80" s="309">
        <f>C80/C$80</f>
        <v>1</v>
      </c>
      <c r="E80" s="327">
        <f>E72+E78</f>
        <v>31.432576257284634</v>
      </c>
      <c r="F80" s="309">
        <f>E80/E$80</f>
        <v>1</v>
      </c>
    </row>
  </sheetData>
  <sheetProtection/>
  <mergeCells count="15">
    <mergeCell ref="D3:F3"/>
    <mergeCell ref="C12:D12"/>
    <mergeCell ref="E12:F12"/>
    <mergeCell ref="B10:F10"/>
    <mergeCell ref="E6:F6"/>
    <mergeCell ref="B65:F65"/>
    <mergeCell ref="C73:D73"/>
    <mergeCell ref="E73:F73"/>
    <mergeCell ref="B4:C4"/>
    <mergeCell ref="B5:C5"/>
    <mergeCell ref="C67:D67"/>
    <mergeCell ref="E67:F67"/>
    <mergeCell ref="C18:D18"/>
    <mergeCell ref="E18:F18"/>
    <mergeCell ref="C6:D6"/>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G10" sqref="G10"/>
    </sheetView>
  </sheetViews>
  <sheetFormatPr defaultColWidth="9.140625" defaultRowHeight="12.75"/>
  <cols>
    <col min="1" max="1" width="4.8515625" style="619"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8">
      <c r="A1" s="619"/>
      <c r="B1" s="642" t="s">
        <v>101</v>
      </c>
      <c r="C1" s="619"/>
      <c r="D1" s="718" t="s">
        <v>342</v>
      </c>
      <c r="E1" s="719"/>
      <c r="F1" s="7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8:51" ht="12.75">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row>
    <row r="5" spans="2:51" ht="12.75">
      <c r="B5" s="591" t="s">
        <v>102</v>
      </c>
      <c r="C5" s="592" t="s">
        <v>237</v>
      </c>
      <c r="D5" s="594"/>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51" ht="12.75">
      <c r="B6" s="591" t="s">
        <v>100</v>
      </c>
      <c r="C6" s="689" t="s">
        <v>238</v>
      </c>
      <c r="D6" s="594"/>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row>
    <row r="7" spans="2:51" ht="12.75">
      <c r="B7" s="591" t="s">
        <v>103</v>
      </c>
      <c r="C7" s="592">
        <v>7.32</v>
      </c>
      <c r="D7" s="595" t="s">
        <v>284</v>
      </c>
      <c r="E7" s="85"/>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row>
    <row r="8" spans="2:51" ht="12.75">
      <c r="B8" s="621"/>
      <c r="C8" s="639"/>
      <c r="D8" s="595"/>
      <c r="E8" s="85"/>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row>
    <row r="9" s="619" customFormat="1" ht="12.75"/>
    <row r="10" spans="8:51" ht="12.75">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row>
    <row r="11" spans="8:51" ht="12.75">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row>
    <row r="12" spans="8:51" ht="12.75">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row>
    <row r="37" ht="12.75" hidden="1"/>
    <row r="38" spans="1:2" s="82" customFormat="1" ht="18" hidden="1">
      <c r="A38" s="619"/>
      <c r="B38" s="84" t="s">
        <v>108</v>
      </c>
    </row>
    <row r="39" spans="3:12" ht="60" customHeight="1" hidden="1">
      <c r="C39" s="86" t="s">
        <v>117</v>
      </c>
      <c r="D39" s="86" t="s">
        <v>118</v>
      </c>
      <c r="E39" s="86" t="s">
        <v>298</v>
      </c>
      <c r="F39" s="86" t="s">
        <v>119</v>
      </c>
      <c r="G39" s="86" t="s">
        <v>121</v>
      </c>
      <c r="H39" s="86" t="s">
        <v>122</v>
      </c>
      <c r="I39" s="86" t="s">
        <v>131</v>
      </c>
      <c r="J39" s="86" t="s">
        <v>132</v>
      </c>
      <c r="K39" s="86" t="s">
        <v>120</v>
      </c>
      <c r="L39" s="86" t="s">
        <v>86</v>
      </c>
    </row>
    <row r="40" spans="2:12" ht="12.75" hidden="1">
      <c r="B40" s="83" t="s">
        <v>294</v>
      </c>
      <c r="C40" s="81">
        <v>1</v>
      </c>
      <c r="D40" s="81">
        <v>1</v>
      </c>
      <c r="E40" s="81"/>
      <c r="F40" s="81">
        <v>1</v>
      </c>
      <c r="G40" s="81"/>
      <c r="H40" s="81"/>
      <c r="I40" s="81"/>
      <c r="J40" s="81"/>
      <c r="K40" s="81">
        <v>1</v>
      </c>
      <c r="L40" s="83">
        <f>SUM(C40:K40)</f>
        <v>4</v>
      </c>
    </row>
    <row r="41" spans="2:11" ht="12.75" hidden="1">
      <c r="B41" s="83" t="s">
        <v>295</v>
      </c>
      <c r="C41" s="81"/>
      <c r="D41" s="81"/>
      <c r="E41" s="81">
        <v>1</v>
      </c>
      <c r="F41" s="81">
        <v>1</v>
      </c>
      <c r="G41" s="81"/>
      <c r="H41" s="81"/>
      <c r="I41" s="81"/>
      <c r="J41" s="81"/>
      <c r="K41" s="81"/>
    </row>
    <row r="42" spans="2:12" ht="12.75" hidden="1">
      <c r="B42" s="83" t="s">
        <v>109</v>
      </c>
      <c r="C42" s="81">
        <v>1</v>
      </c>
      <c r="D42" s="81">
        <v>1</v>
      </c>
      <c r="E42" s="81"/>
      <c r="F42" s="81">
        <v>1</v>
      </c>
      <c r="G42" s="81">
        <v>1</v>
      </c>
      <c r="H42" s="81"/>
      <c r="I42" s="81"/>
      <c r="J42" s="81"/>
      <c r="K42" s="81">
        <v>1</v>
      </c>
      <c r="L42" s="83">
        <f>SUM(C42:K42)</f>
        <v>5</v>
      </c>
    </row>
    <row r="43" spans="2:12" ht="12.75" hidden="1">
      <c r="B43" s="83" t="s">
        <v>110</v>
      </c>
      <c r="C43" s="81">
        <v>1</v>
      </c>
      <c r="D43" s="81">
        <v>1</v>
      </c>
      <c r="E43" s="81"/>
      <c r="F43" s="81">
        <v>1</v>
      </c>
      <c r="G43" s="81"/>
      <c r="H43" s="81">
        <v>1</v>
      </c>
      <c r="I43" s="81"/>
      <c r="J43" s="81"/>
      <c r="K43" s="81">
        <v>1</v>
      </c>
      <c r="L43" s="83">
        <f>SUM(C43:K43)</f>
        <v>5</v>
      </c>
    </row>
    <row r="44" spans="2:12" ht="12.75" hidden="1">
      <c r="B44" s="83" t="s">
        <v>129</v>
      </c>
      <c r="C44" s="81"/>
      <c r="D44" s="81"/>
      <c r="E44" s="81"/>
      <c r="F44" s="81"/>
      <c r="G44" s="81"/>
      <c r="H44" s="81"/>
      <c r="I44" s="81"/>
      <c r="J44" s="81"/>
      <c r="K44" s="81"/>
      <c r="L44" s="83">
        <f>SUM(C44:K44)</f>
        <v>0</v>
      </c>
    </row>
    <row r="45" spans="2:12" ht="12.75" hidden="1">
      <c r="B45" s="83" t="s">
        <v>130</v>
      </c>
      <c r="C45" s="81"/>
      <c r="D45" s="81"/>
      <c r="E45" s="81"/>
      <c r="F45" s="81"/>
      <c r="G45" s="81"/>
      <c r="H45" s="81"/>
      <c r="I45" s="81"/>
      <c r="J45" s="81"/>
      <c r="K45" s="81"/>
      <c r="L45" s="83">
        <f>SUM(C45:K45)</f>
        <v>0</v>
      </c>
    </row>
    <row r="46" ht="12.75" hidden="1"/>
    <row r="47" ht="12.75" hidden="1">
      <c r="B47" s="265" t="s">
        <v>114</v>
      </c>
    </row>
    <row r="48" spans="2:11" ht="12.75" hidden="1">
      <c r="B48" s="83" t="str">
        <f>B40</f>
        <v>Adult normal circumcision - No complications</v>
      </c>
      <c r="C48" s="83">
        <f>Number_of_normal_circumcisions_per_year*C40</f>
        <v>237.9</v>
      </c>
      <c r="D48" s="83">
        <f>Number_of_normal_circumcisions_per_year*D40</f>
        <v>237.9</v>
      </c>
      <c r="E48" s="83">
        <f aca="true" t="shared" si="0" ref="E48:J48">Number_of_normal_circumcisions_per_year*F40</f>
        <v>237.9</v>
      </c>
      <c r="F48" s="83">
        <f t="shared" si="0"/>
        <v>0</v>
      </c>
      <c r="G48" s="83">
        <f t="shared" si="0"/>
        <v>0</v>
      </c>
      <c r="H48" s="83">
        <f t="shared" si="0"/>
        <v>0</v>
      </c>
      <c r="I48" s="83">
        <f t="shared" si="0"/>
        <v>0</v>
      </c>
      <c r="J48" s="83">
        <f t="shared" si="0"/>
        <v>237.9</v>
      </c>
      <c r="K48" s="83">
        <f>SUM(C48:J48)</f>
        <v>951.6</v>
      </c>
    </row>
    <row r="49" spans="2:10" ht="12.75" hidden="1">
      <c r="B49" s="83" t="s">
        <v>295</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5.75</v>
      </c>
      <c r="D50" s="83">
        <f>(Number_of_complications_hemorrhage_per_year+'Share of Facility Time'!$F$19)*D42</f>
        <v>5.75</v>
      </c>
      <c r="E50" s="83">
        <f>(Number_of_complications_hemorrhage_per_year+'Share of Facility Time'!$F$19)*F42</f>
        <v>5.75</v>
      </c>
      <c r="F50" s="83">
        <f>(Number_of_complications_hemorrhage_per_year+'Share of Facility Time'!$F$19)*G42</f>
        <v>5.75</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5.75</v>
      </c>
      <c r="K50" s="83">
        <f>SUM(C50:J50)</f>
        <v>28.75</v>
      </c>
    </row>
    <row r="51" spans="2:11" ht="12.75" hidden="1">
      <c r="B51" s="83" t="str">
        <f>B43</f>
        <v>Circumcision with complications - Sepsis</v>
      </c>
      <c r="C51" s="83">
        <f>(Number_of_complications_sepsis_per_year+'Share of Facility Time'!$F$20)*C43</f>
        <v>16.41</v>
      </c>
      <c r="D51" s="83">
        <f>(Number_of_complications_sepsis_per_year+'Share of Facility Time'!$F$20)*D43</f>
        <v>16.41</v>
      </c>
      <c r="E51" s="83">
        <f>(Number_of_complications_sepsis_per_year+'Share of Facility Time'!$F$20)*F43</f>
        <v>16.41</v>
      </c>
      <c r="F51" s="83">
        <f>(Number_of_complications_sepsis_per_year+'Share of Facility Time'!$F$20)*G43</f>
        <v>0</v>
      </c>
      <c r="G51" s="83">
        <f>(Number_of_complications_sepsis_per_year+'Share of Facility Time'!$F$20)*H43</f>
        <v>16.41</v>
      </c>
      <c r="H51" s="83">
        <f>(Number_of_complications_sepsis_per_year+'Share of Facility Time'!$F$20)*I43</f>
        <v>0</v>
      </c>
      <c r="I51" s="83">
        <f>(Number_of_complications_sepsis_per_year+'Share of Facility Time'!$F$20)*J43</f>
        <v>0</v>
      </c>
      <c r="J51" s="83">
        <f>(Number_of_complications_sepsis_per_year+'Share of Facility Time'!$F$20)*K43</f>
        <v>16.41</v>
      </c>
      <c r="K51" s="83">
        <f>SUM(C51:J51)</f>
        <v>82.05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5.75</v>
      </c>
      <c r="G54" s="83">
        <f>SUM(G48:G51)</f>
        <v>16.41</v>
      </c>
      <c r="J54" s="83">
        <f>SUM(J48:J51)</f>
        <v>260.06</v>
      </c>
      <c r="K54" s="83">
        <f>SUM(K48:K51)</f>
        <v>1062.4</v>
      </c>
    </row>
    <row r="59" ht="12.75">
      <c r="C59" s="31"/>
    </row>
    <row r="60" ht="12.75">
      <c r="C60" s="32"/>
    </row>
    <row r="61" ht="12.75">
      <c r="C61" s="32"/>
    </row>
    <row r="62" ht="12.75">
      <c r="C62" s="32"/>
    </row>
    <row r="63" ht="12.75">
      <c r="C63" s="32"/>
    </row>
    <row r="64" ht="12.75">
      <c r="C64" s="31"/>
    </row>
    <row r="71" ht="12.75">
      <c r="B71" s="83" t="s">
        <v>249</v>
      </c>
    </row>
    <row r="72" ht="12.75">
      <c r="B72" s="83" t="s">
        <v>318</v>
      </c>
    </row>
    <row r="73" ht="12.75">
      <c r="B73" s="83" t="s">
        <v>319</v>
      </c>
    </row>
    <row r="74" ht="12.75">
      <c r="B74" s="83" t="s">
        <v>320</v>
      </c>
    </row>
    <row r="75" ht="12.75">
      <c r="B75" s="83" t="s">
        <v>321</v>
      </c>
    </row>
    <row r="76" ht="12.75">
      <c r="B76" s="83" t="s">
        <v>322</v>
      </c>
    </row>
  </sheetData>
  <sheetProtection/>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B11" sqref="B11"/>
    </sheetView>
  </sheetViews>
  <sheetFormatPr defaultColWidth="9.140625" defaultRowHeight="12.75"/>
  <cols>
    <col min="1" max="1" width="4.7109375" style="0" customWidth="1"/>
    <col min="2" max="2" width="47.7109375" style="0" customWidth="1"/>
    <col min="3" max="3" width="13.421875" style="0" customWidth="1"/>
  </cols>
  <sheetData>
    <row r="1" spans="2:6" ht="18">
      <c r="B1" s="642" t="s">
        <v>104</v>
      </c>
      <c r="C1" s="619"/>
      <c r="D1" s="718" t="s">
        <v>342</v>
      </c>
      <c r="E1" s="719"/>
      <c r="F1" s="719"/>
    </row>
    <row r="2" spans="2:51" s="83" customFormat="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3" s="620" customFormat="1" ht="11.25" customHeight="1">
      <c r="B4" s="642"/>
      <c r="C4" s="619"/>
    </row>
    <row r="5" spans="2:3" ht="12.75">
      <c r="B5" s="591" t="s">
        <v>98</v>
      </c>
      <c r="C5" s="593"/>
    </row>
    <row r="6" spans="2:3" ht="12.75">
      <c r="B6" s="591" t="s">
        <v>99</v>
      </c>
      <c r="C6" s="593"/>
    </row>
    <row r="7" spans="2:3" ht="12.75">
      <c r="B7" s="591" t="s">
        <v>383</v>
      </c>
      <c r="C7" s="592" t="s">
        <v>249</v>
      </c>
    </row>
    <row r="67" ht="12.75">
      <c r="B67" t="s">
        <v>249</v>
      </c>
    </row>
    <row r="68" ht="12.75">
      <c r="B68" t="s">
        <v>318</v>
      </c>
    </row>
    <row r="69" ht="12.75">
      <c r="B69" t="s">
        <v>319</v>
      </c>
    </row>
    <row r="70" ht="12.75">
      <c r="B70" t="s">
        <v>320</v>
      </c>
    </row>
    <row r="71" ht="12.75">
      <c r="B71" t="s">
        <v>321</v>
      </c>
    </row>
    <row r="72" ht="12.75">
      <c r="B72" t="s">
        <v>322</v>
      </c>
    </row>
  </sheetData>
  <sheetProtection/>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
      <selection activeCell="C13" sqref="C13"/>
    </sheetView>
  </sheetViews>
  <sheetFormatPr defaultColWidth="9.140625" defaultRowHeight="12.75"/>
  <cols>
    <col min="1" max="1" width="4.7109375" style="0" customWidth="1"/>
    <col min="2" max="2" width="53.8515625" style="0" customWidth="1"/>
  </cols>
  <sheetData>
    <row r="1" spans="1:51" s="82" customFormat="1" ht="18">
      <c r="A1" s="619"/>
      <c r="B1" s="642" t="s">
        <v>341</v>
      </c>
      <c r="C1" s="619"/>
      <c r="D1" s="619"/>
      <c r="E1" s="718" t="s">
        <v>342</v>
      </c>
      <c r="F1" s="719"/>
      <c r="G1" s="7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s="83" customFormat="1" ht="12.75">
      <c r="B2" s="363" t="s">
        <v>106</v>
      </c>
      <c r="C2" s="407"/>
      <c r="D2" s="407"/>
      <c r="E2" s="619"/>
      <c r="F2" s="641"/>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407"/>
      <c r="D3" s="407"/>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4" s="619" customFormat="1" ht="12.75">
      <c r="B4" s="407"/>
      <c r="C4" s="407"/>
      <c r="D4" s="407"/>
    </row>
    <row r="5" spans="2:51" s="83" customFormat="1" ht="12.75">
      <c r="B5" s="265" t="s">
        <v>184</v>
      </c>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7" s="83" customFormat="1" ht="12.75">
      <c r="B6" s="591" t="s">
        <v>291</v>
      </c>
      <c r="C6" s="596">
        <f>1000*12</f>
        <v>12000</v>
      </c>
      <c r="D6" s="609"/>
      <c r="E6" s="610"/>
      <c r="F6" s="610"/>
      <c r="G6" s="611"/>
    </row>
    <row r="7" spans="2:7" s="83" customFormat="1" ht="12.75">
      <c r="B7" s="591" t="s">
        <v>290</v>
      </c>
      <c r="C7" s="596">
        <f>5000*12</f>
        <v>60000</v>
      </c>
      <c r="D7" s="612"/>
      <c r="E7" s="594"/>
      <c r="F7" s="594"/>
      <c r="G7" s="613"/>
    </row>
    <row r="8" spans="2:7" s="83" customFormat="1" ht="12.75">
      <c r="B8" s="591" t="s">
        <v>105</v>
      </c>
      <c r="C8" s="597">
        <f>AVERAGE(16.51/3.98,23.86/4.36,34.44/8.22)</f>
        <v>4.60349976404938</v>
      </c>
      <c r="D8" s="612"/>
      <c r="E8" s="594"/>
      <c r="F8" s="594"/>
      <c r="G8" s="613"/>
    </row>
    <row r="9" spans="2:7" s="83" customFormat="1" ht="12.75">
      <c r="B9" s="591" t="s">
        <v>37</v>
      </c>
      <c r="C9" s="598">
        <f>C7+C6*C8</f>
        <v>115241.99716859256</v>
      </c>
      <c r="D9" s="614"/>
      <c r="E9" s="594"/>
      <c r="F9" s="594"/>
      <c r="G9" s="613"/>
    </row>
    <row r="10" spans="2:7" s="83" customFormat="1" ht="12.75">
      <c r="B10" s="591" t="s">
        <v>286</v>
      </c>
      <c r="C10" s="688">
        <f>Adult_Clients_MC+Neonatal_Clients_MC</f>
        <v>270</v>
      </c>
      <c r="D10" s="600">
        <f>SUM(E14:E14)</f>
        <v>0.915</v>
      </c>
      <c r="E10" s="612"/>
      <c r="F10" s="594"/>
      <c r="G10" s="613"/>
    </row>
    <row r="11" spans="2:7" s="83" customFormat="1" ht="12.75">
      <c r="B11" s="601" t="s">
        <v>285</v>
      </c>
      <c r="C11" s="599">
        <v>260</v>
      </c>
      <c r="D11" s="617"/>
      <c r="E11" s="594"/>
      <c r="F11" s="594"/>
      <c r="G11" s="613"/>
    </row>
    <row r="12" spans="2:7" s="83" customFormat="1" ht="12.75">
      <c r="B12" s="601" t="s">
        <v>287</v>
      </c>
      <c r="C12" s="599">
        <v>10</v>
      </c>
      <c r="D12" s="618"/>
      <c r="E12" s="615"/>
      <c r="F12" s="615"/>
      <c r="G12" s="616"/>
    </row>
    <row r="13" spans="2:7" s="83" customFormat="1" ht="12.75">
      <c r="B13" s="591" t="s">
        <v>242</v>
      </c>
      <c r="C13" s="602">
        <f>C10/C9</f>
        <v>0.002342895876795724</v>
      </c>
      <c r="D13" s="591" t="s">
        <v>292</v>
      </c>
      <c r="E13" s="591" t="s">
        <v>304</v>
      </c>
      <c r="F13" s="591" t="s">
        <v>289</v>
      </c>
      <c r="G13" s="591" t="s">
        <v>304</v>
      </c>
    </row>
    <row r="14" spans="2:10" s="83" customFormat="1" ht="12.75">
      <c r="B14" s="591" t="s">
        <v>293</v>
      </c>
      <c r="C14" s="603">
        <f>(F14+Number_of_normal_circumcisions_per_year)/Clients_MC</f>
        <v>0.9179259259259259</v>
      </c>
      <c r="D14" s="604">
        <f>Adult_Clients_MC-(D19+D20+D21+D22)</f>
        <v>237.9</v>
      </c>
      <c r="E14" s="605">
        <f>Number_of_normal_circumcisions_per_year/Adult_Clients_MC</f>
        <v>0.915</v>
      </c>
      <c r="F14" s="604">
        <f>Neonatal_Clients_MC-(F19+F20+F21+F22)</f>
        <v>9.94</v>
      </c>
      <c r="G14" s="605">
        <f>F14/Neonatal_Clients_MC</f>
        <v>0.994</v>
      </c>
      <c r="H14" s="364"/>
      <c r="I14"/>
      <c r="J14"/>
    </row>
    <row r="15" spans="2:10" s="83" customFormat="1" ht="12.75">
      <c r="B15" s="591" t="s">
        <v>115</v>
      </c>
      <c r="C15" s="591"/>
      <c r="D15" s="606">
        <f>E15*Adult_Clients_MC</f>
        <v>5.72</v>
      </c>
      <c r="E15" s="607">
        <v>0.022</v>
      </c>
      <c r="F15" s="606">
        <f>G15*Neonatal_Clients_MC</f>
        <v>0.03</v>
      </c>
      <c r="G15" s="607">
        <v>0.003</v>
      </c>
      <c r="H15"/>
      <c r="I15"/>
      <c r="J15"/>
    </row>
    <row r="16" spans="2:7" s="83" customFormat="1" ht="12.75">
      <c r="B16" s="591" t="s">
        <v>116</v>
      </c>
      <c r="C16" s="591"/>
      <c r="D16" s="606">
        <f>E16*Adult_Clients_MC</f>
        <v>16.38</v>
      </c>
      <c r="E16" s="607">
        <v>0.063</v>
      </c>
      <c r="F16" s="606">
        <f>G16*Neonatal_Clients_MC</f>
        <v>0.03</v>
      </c>
      <c r="G16" s="607">
        <v>0.003</v>
      </c>
    </row>
    <row r="17" spans="2:7" s="83" customFormat="1" ht="12.75">
      <c r="B17" s="591" t="s">
        <v>127</v>
      </c>
      <c r="C17" s="591"/>
      <c r="D17" s="390">
        <f>Adult_Clients_MC*E17</f>
        <v>0</v>
      </c>
      <c r="E17" s="607">
        <v>0</v>
      </c>
      <c r="F17" s="390">
        <f>Neonatal_Clients_MC*G17</f>
        <v>0</v>
      </c>
      <c r="G17" s="607">
        <v>0</v>
      </c>
    </row>
    <row r="18" spans="2:7" s="83" customFormat="1" ht="12.75">
      <c r="B18" s="591" t="s">
        <v>128</v>
      </c>
      <c r="C18" s="591"/>
      <c r="D18" s="390">
        <f>Adult_Clients_MC*E18</f>
        <v>0</v>
      </c>
      <c r="E18" s="607">
        <v>0</v>
      </c>
      <c r="F18" s="390">
        <f>Neonatal_Clients_MC*G18</f>
        <v>0</v>
      </c>
      <c r="G18" s="607">
        <v>0</v>
      </c>
    </row>
    <row r="19" spans="2:8" s="83" customFormat="1" ht="12.75" hidden="1">
      <c r="B19" s="591" t="s">
        <v>308</v>
      </c>
      <c r="C19" s="603"/>
      <c r="D19" s="608">
        <f>D15</f>
        <v>5.72</v>
      </c>
      <c r="E19" s="603">
        <f>D19/C11</f>
        <v>0.022</v>
      </c>
      <c r="F19" s="604">
        <f>F15</f>
        <v>0.03</v>
      </c>
      <c r="G19" s="603">
        <f>F19/Neonatal_Clients_MC</f>
        <v>0.003</v>
      </c>
      <c r="H19" s="234"/>
    </row>
    <row r="20" spans="2:7" s="83" customFormat="1" ht="12.75" hidden="1">
      <c r="B20" s="591" t="s">
        <v>305</v>
      </c>
      <c r="C20" s="603"/>
      <c r="D20" s="608">
        <f>D16</f>
        <v>16.38</v>
      </c>
      <c r="E20" s="603">
        <f>Number_of_complications_sepsis_per_year/Adult_Clients_MC</f>
        <v>0.063</v>
      </c>
      <c r="F20" s="604">
        <f>F16</f>
        <v>0.03</v>
      </c>
      <c r="G20" s="603">
        <f>F20/Neonatal_Clients_MC</f>
        <v>0.003</v>
      </c>
    </row>
    <row r="21" spans="2:7" s="83" customFormat="1" ht="12.75" hidden="1">
      <c r="B21" s="591" t="s">
        <v>306</v>
      </c>
      <c r="C21" s="603"/>
      <c r="D21" s="608">
        <f>D17</f>
        <v>0</v>
      </c>
      <c r="E21" s="603">
        <f>D21/Adult_Clients_MC</f>
        <v>0</v>
      </c>
      <c r="F21" s="604">
        <f>F17</f>
        <v>0</v>
      </c>
      <c r="G21" s="603">
        <f>F21/Neonatal_Clients_MC</f>
        <v>0</v>
      </c>
    </row>
    <row r="22" spans="2:7" s="83" customFormat="1" ht="12.75" hidden="1">
      <c r="B22" s="591" t="s">
        <v>307</v>
      </c>
      <c r="C22" s="603"/>
      <c r="D22" s="608">
        <f>D18</f>
        <v>0</v>
      </c>
      <c r="E22" s="603">
        <f>D22/Adult_Clients_MC</f>
        <v>0</v>
      </c>
      <c r="F22" s="604">
        <f>F18</f>
        <v>0</v>
      </c>
      <c r="G22" s="603">
        <f>F22/Neonatal_Clients_MC</f>
        <v>0</v>
      </c>
    </row>
  </sheetData>
  <sheetProtection/>
  <mergeCells count="1">
    <mergeCell ref="E1:G1"/>
  </mergeCells>
  <hyperlinks>
    <hyperlink ref="E1" location="Menu" display="Return to Menu"/>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46"/>
  </sheetPr>
  <dimension ref="A1:BQ49"/>
  <sheetViews>
    <sheetView showGridLines="0" zoomScalePageLayoutView="0" workbookViewId="0" topLeftCell="A1">
      <selection activeCell="A1" sqref="A1"/>
    </sheetView>
  </sheetViews>
  <sheetFormatPr defaultColWidth="9.140625" defaultRowHeight="12.75"/>
  <cols>
    <col min="1" max="1" width="4.57421875" style="41" customWidth="1"/>
    <col min="2" max="2" width="26.421875" style="41" customWidth="1"/>
    <col min="3" max="3" width="10.8515625" style="41" customWidth="1"/>
    <col min="4" max="4" width="10.140625" style="41" customWidth="1"/>
    <col min="5" max="5" width="11.28125" style="41" customWidth="1"/>
    <col min="6" max="6" width="8.7109375" style="41" customWidth="1"/>
    <col min="7" max="7" width="11.28125" style="41" customWidth="1"/>
    <col min="8" max="12" width="10.7109375" style="41" customWidth="1"/>
    <col min="13" max="14" width="10.140625" style="41" customWidth="1"/>
    <col min="15" max="16384" width="9.140625" style="41" customWidth="1"/>
  </cols>
  <sheetData>
    <row r="1" spans="1:69" s="188" customFormat="1" ht="18" customHeight="1">
      <c r="A1" s="570"/>
      <c r="B1" s="672" t="s">
        <v>384</v>
      </c>
      <c r="C1" s="672"/>
      <c r="D1" s="672"/>
      <c r="E1" s="673"/>
      <c r="F1" s="673"/>
      <c r="G1" s="673"/>
      <c r="H1" s="718" t="s">
        <v>342</v>
      </c>
      <c r="I1" s="719"/>
      <c r="J1" s="719"/>
      <c r="K1" s="673"/>
      <c r="L1" s="673"/>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row>
    <row r="2" spans="2:18" s="35" customFormat="1" ht="12.75">
      <c r="B2" s="721" t="s">
        <v>106</v>
      </c>
      <c r="C2" s="721"/>
      <c r="D2" s="721"/>
      <c r="E2" s="722"/>
      <c r="F2" s="722"/>
      <c r="G2" s="722"/>
      <c r="H2" s="189"/>
      <c r="I2" s="189"/>
      <c r="J2" s="189"/>
      <c r="K2" s="189"/>
      <c r="L2" s="189"/>
      <c r="M2" s="41"/>
      <c r="N2" s="41"/>
      <c r="O2" s="34"/>
      <c r="P2" s="34"/>
      <c r="Q2" s="34"/>
      <c r="R2" s="34"/>
    </row>
    <row r="3" spans="2:18" s="35" customFormat="1" ht="12.75">
      <c r="B3" s="720" t="s">
        <v>282</v>
      </c>
      <c r="C3" s="720"/>
      <c r="D3" s="720"/>
      <c r="E3" s="720"/>
      <c r="F3" s="720"/>
      <c r="G3" s="719"/>
      <c r="H3" s="189"/>
      <c r="I3" s="189"/>
      <c r="J3" s="189"/>
      <c r="K3" s="189"/>
      <c r="L3" s="189"/>
      <c r="M3" s="41"/>
      <c r="N3" s="41"/>
      <c r="O3" s="34"/>
      <c r="P3" s="34"/>
      <c r="Q3" s="34"/>
      <c r="R3" s="34"/>
    </row>
    <row r="4" spans="2:12" ht="12.75" hidden="1">
      <c r="B4" s="199" t="s">
        <v>76</v>
      </c>
      <c r="C4" s="199"/>
      <c r="D4" s="199"/>
      <c r="E4" s="197"/>
      <c r="F4" s="197"/>
      <c r="G4" s="197"/>
      <c r="H4" s="197"/>
      <c r="I4" s="197"/>
      <c r="J4" s="197"/>
      <c r="K4" s="197"/>
      <c r="L4" s="197"/>
    </row>
    <row r="5" spans="2:12" ht="12.75" hidden="1">
      <c r="B5" s="200" t="s">
        <v>58</v>
      </c>
      <c r="C5" s="691"/>
      <c r="D5" s="691"/>
      <c r="E5" s="201">
        <v>0</v>
      </c>
      <c r="F5" s="201"/>
      <c r="G5" s="201"/>
      <c r="H5" s="201">
        <v>0.38</v>
      </c>
      <c r="I5" s="201">
        <v>1</v>
      </c>
      <c r="J5" s="201">
        <v>30</v>
      </c>
      <c r="K5" s="201">
        <v>0.08</v>
      </c>
      <c r="L5" s="201">
        <v>0.17</v>
      </c>
    </row>
    <row r="6" spans="2:12" ht="12.75" hidden="1">
      <c r="B6" s="202" t="s">
        <v>55</v>
      </c>
      <c r="C6" s="692"/>
      <c r="D6" s="692"/>
      <c r="E6" s="203">
        <v>1</v>
      </c>
      <c r="F6" s="203"/>
      <c r="G6" s="203"/>
      <c r="H6" s="203">
        <v>0.5</v>
      </c>
      <c r="I6" s="203">
        <v>1.5</v>
      </c>
      <c r="J6" s="203">
        <v>3.75</v>
      </c>
      <c r="K6" s="203">
        <v>0.08</v>
      </c>
      <c r="L6" s="203">
        <v>0.17</v>
      </c>
    </row>
    <row r="7" spans="2:12" ht="12.75" hidden="1">
      <c r="B7" s="202" t="s">
        <v>53</v>
      </c>
      <c r="C7" s="692"/>
      <c r="D7" s="692"/>
      <c r="E7" s="203">
        <v>0.5</v>
      </c>
      <c r="F7" s="203"/>
      <c r="G7" s="203"/>
      <c r="H7" s="203">
        <v>0</v>
      </c>
      <c r="I7" s="203">
        <v>0</v>
      </c>
      <c r="J7" s="203">
        <v>4</v>
      </c>
      <c r="K7" s="203">
        <v>0</v>
      </c>
      <c r="L7" s="203">
        <v>0</v>
      </c>
    </row>
    <row r="8" spans="2:12" ht="12.75" hidden="1">
      <c r="B8" s="202" t="s">
        <v>77</v>
      </c>
      <c r="C8" s="692"/>
      <c r="D8" s="692"/>
      <c r="E8" s="203">
        <v>0</v>
      </c>
      <c r="F8" s="203"/>
      <c r="G8" s="203"/>
      <c r="H8" s="203">
        <v>0</v>
      </c>
      <c r="I8" s="203">
        <v>0</v>
      </c>
      <c r="J8" s="203">
        <v>0</v>
      </c>
      <c r="K8" s="203">
        <v>0</v>
      </c>
      <c r="L8" s="203">
        <v>0</v>
      </c>
    </row>
    <row r="9" spans="2:12" ht="12.75" hidden="1">
      <c r="B9" s="202" t="s">
        <v>78</v>
      </c>
      <c r="C9" s="692"/>
      <c r="D9" s="692"/>
      <c r="E9" s="203">
        <v>0</v>
      </c>
      <c r="F9" s="203"/>
      <c r="G9" s="203"/>
      <c r="H9" s="203">
        <v>0</v>
      </c>
      <c r="I9" s="203">
        <v>0</v>
      </c>
      <c r="J9" s="203">
        <v>0</v>
      </c>
      <c r="K9" s="203">
        <v>0</v>
      </c>
      <c r="L9" s="203">
        <v>0</v>
      </c>
    </row>
    <row r="10" spans="2:12" ht="12.75" hidden="1">
      <c r="B10" s="204" t="s">
        <v>59</v>
      </c>
      <c r="C10" s="693"/>
      <c r="D10" s="693"/>
      <c r="E10" s="203">
        <v>0</v>
      </c>
      <c r="F10" s="203"/>
      <c r="G10" s="203"/>
      <c r="H10" s="203">
        <v>0</v>
      </c>
      <c r="I10" s="203">
        <v>0</v>
      </c>
      <c r="J10" s="203">
        <v>0.67</v>
      </c>
      <c r="K10" s="203">
        <v>0</v>
      </c>
      <c r="L10" s="203">
        <v>0</v>
      </c>
    </row>
    <row r="11" spans="2:12" ht="12.75" hidden="1">
      <c r="B11" s="205" t="s">
        <v>54</v>
      </c>
      <c r="C11" s="694"/>
      <c r="D11" s="694"/>
      <c r="E11" s="206">
        <v>0.67</v>
      </c>
      <c r="F11" s="206"/>
      <c r="G11" s="206"/>
      <c r="H11" s="206">
        <v>0.67</v>
      </c>
      <c r="I11" s="206">
        <v>0.67</v>
      </c>
      <c r="J11" s="206">
        <v>0.27</v>
      </c>
      <c r="K11" s="206">
        <v>0</v>
      </c>
      <c r="L11" s="206">
        <v>0</v>
      </c>
    </row>
    <row r="13" spans="2:12" ht="15.75">
      <c r="B13" s="38" t="s">
        <v>79</v>
      </c>
      <c r="C13" s="38"/>
      <c r="D13" s="38"/>
      <c r="E13" s="38"/>
      <c r="F13" s="38"/>
      <c r="G13" s="38"/>
      <c r="H13" s="38"/>
      <c r="I13" s="38"/>
      <c r="J13" s="38"/>
      <c r="K13" s="38"/>
      <c r="L13" s="38"/>
    </row>
    <row r="14" spans="13:18" ht="12.75">
      <c r="M14" s="192"/>
      <c r="N14" s="192"/>
      <c r="O14" s="192"/>
      <c r="P14" s="192"/>
      <c r="Q14" s="192"/>
      <c r="R14" s="192"/>
    </row>
    <row r="15" spans="2:12" s="207" customFormat="1" ht="45">
      <c r="B15" s="87" t="s">
        <v>80</v>
      </c>
      <c r="C15" s="88" t="s">
        <v>428</v>
      </c>
      <c r="D15" s="88" t="s">
        <v>430</v>
      </c>
      <c r="E15" s="88" t="s">
        <v>429</v>
      </c>
      <c r="F15" s="88" t="s">
        <v>431</v>
      </c>
      <c r="G15" s="88" t="s">
        <v>432</v>
      </c>
      <c r="H15" s="90" t="s">
        <v>433</v>
      </c>
      <c r="I15" s="88" t="s">
        <v>434</v>
      </c>
      <c r="J15" s="90" t="s">
        <v>385</v>
      </c>
      <c r="K15" s="89" t="s">
        <v>386</v>
      </c>
      <c r="L15" s="91" t="s">
        <v>435</v>
      </c>
    </row>
    <row r="16" spans="2:18" s="192" customFormat="1" ht="12" customHeight="1">
      <c r="B16" s="683" t="s">
        <v>388</v>
      </c>
      <c r="C16" s="683"/>
      <c r="D16" s="630"/>
      <c r="E16" s="566">
        <v>9842.622950819672</v>
      </c>
      <c r="F16" s="630">
        <v>984.2622950819672</v>
      </c>
      <c r="G16" s="633">
        <f aca="true" t="shared" si="0" ref="G16:G30">IF(C16&gt;0,(C16+D16)/Exchange_rate,E16+F16)</f>
        <v>10826.88524590164</v>
      </c>
      <c r="H16" s="633">
        <f aca="true" t="shared" si="1" ref="H16:H30">10%*G16</f>
        <v>1082.688524590164</v>
      </c>
      <c r="I16" s="567">
        <f aca="true" t="shared" si="2" ref="I16:I30">G16+H16</f>
        <v>11909.573770491803</v>
      </c>
      <c r="J16" s="568">
        <v>40</v>
      </c>
      <c r="K16" s="568">
        <v>48</v>
      </c>
      <c r="L16" s="569">
        <f aca="true" t="shared" si="3" ref="L16:L23">I16/J16/K16</f>
        <v>6.2029030054644805</v>
      </c>
      <c r="N16" s="208"/>
      <c r="O16" s="208"/>
      <c r="P16" s="208"/>
      <c r="Q16" s="208"/>
      <c r="R16" s="208"/>
    </row>
    <row r="17" spans="2:18" s="192" customFormat="1" ht="12" customHeight="1">
      <c r="B17" s="683" t="s">
        <v>187</v>
      </c>
      <c r="C17" s="683"/>
      <c r="D17" s="630"/>
      <c r="E17" s="566">
        <v>3236.0655737704915</v>
      </c>
      <c r="F17" s="630">
        <v>323.6065573770491</v>
      </c>
      <c r="G17" s="633">
        <f t="shared" si="0"/>
        <v>3559.6721311475408</v>
      </c>
      <c r="H17" s="633">
        <f t="shared" si="1"/>
        <v>355.9672131147541</v>
      </c>
      <c r="I17" s="567">
        <f t="shared" si="2"/>
        <v>3915.639344262295</v>
      </c>
      <c r="J17" s="568">
        <v>40</v>
      </c>
      <c r="K17" s="568">
        <v>48</v>
      </c>
      <c r="L17" s="569">
        <f>I17/J17/K17</f>
        <v>2.0393954918032784</v>
      </c>
      <c r="N17" s="208"/>
      <c r="O17" s="208"/>
      <c r="P17" s="208"/>
      <c r="Q17" s="208"/>
      <c r="R17" s="208"/>
    </row>
    <row r="18" spans="2:18" ht="12.75">
      <c r="B18" s="683" t="s">
        <v>387</v>
      </c>
      <c r="C18" s="683"/>
      <c r="D18" s="630"/>
      <c r="E18" s="566">
        <v>12001.639344262294</v>
      </c>
      <c r="F18" s="630">
        <v>1200.1639344262294</v>
      </c>
      <c r="G18" s="633">
        <f t="shared" si="0"/>
        <v>13201.803278688523</v>
      </c>
      <c r="H18" s="633">
        <f t="shared" si="1"/>
        <v>1320.1803278688524</v>
      </c>
      <c r="I18" s="567">
        <f t="shared" si="2"/>
        <v>14521.983606557376</v>
      </c>
      <c r="J18" s="568">
        <v>40</v>
      </c>
      <c r="K18" s="568">
        <v>48</v>
      </c>
      <c r="L18" s="569">
        <f t="shared" si="3"/>
        <v>7.5635331284153</v>
      </c>
      <c r="N18" s="208"/>
      <c r="O18" s="208"/>
      <c r="P18" s="208"/>
      <c r="Q18" s="208"/>
      <c r="R18" s="208"/>
    </row>
    <row r="19" spans="2:18" ht="12" customHeight="1">
      <c r="B19" s="683" t="s">
        <v>246</v>
      </c>
      <c r="C19" s="683"/>
      <c r="D19" s="630"/>
      <c r="E19" s="566">
        <v>12001.639344262294</v>
      </c>
      <c r="F19" s="630">
        <v>1200.1639344262294</v>
      </c>
      <c r="G19" s="633">
        <f t="shared" si="0"/>
        <v>13201.803278688523</v>
      </c>
      <c r="H19" s="633">
        <f t="shared" si="1"/>
        <v>1320.1803278688524</v>
      </c>
      <c r="I19" s="567">
        <f t="shared" si="2"/>
        <v>14521.983606557376</v>
      </c>
      <c r="J19" s="568">
        <v>40</v>
      </c>
      <c r="K19" s="568">
        <v>48</v>
      </c>
      <c r="L19" s="569">
        <f t="shared" si="3"/>
        <v>7.5635331284153</v>
      </c>
      <c r="N19" s="208"/>
      <c r="O19" s="208"/>
      <c r="P19" s="208"/>
      <c r="Q19" s="208"/>
      <c r="R19" s="208"/>
    </row>
    <row r="20" spans="2:18" ht="12" customHeight="1">
      <c r="B20" s="683" t="s">
        <v>183</v>
      </c>
      <c r="C20" s="683"/>
      <c r="D20" s="630"/>
      <c r="E20" s="566">
        <v>3236.0655737704915</v>
      </c>
      <c r="F20" s="630">
        <v>323.6065573770491</v>
      </c>
      <c r="G20" s="633">
        <f t="shared" si="0"/>
        <v>3559.6721311475408</v>
      </c>
      <c r="H20" s="633">
        <f t="shared" si="1"/>
        <v>355.9672131147541</v>
      </c>
      <c r="I20" s="567">
        <f>G20+H20</f>
        <v>3915.639344262295</v>
      </c>
      <c r="J20" s="568">
        <v>40</v>
      </c>
      <c r="K20" s="568">
        <v>48</v>
      </c>
      <c r="L20" s="569">
        <f>I20/J20/K20</f>
        <v>2.0393954918032784</v>
      </c>
      <c r="N20" s="208"/>
      <c r="O20" s="208"/>
      <c r="P20" s="208"/>
      <c r="Q20" s="208"/>
      <c r="R20" s="208"/>
    </row>
    <row r="21" spans="2:18" ht="12.75">
      <c r="B21" s="683" t="s">
        <v>389</v>
      </c>
      <c r="C21" s="683"/>
      <c r="D21" s="630"/>
      <c r="E21" s="566">
        <v>3236.0655737704915</v>
      </c>
      <c r="F21" s="630">
        <v>323.6065573770491</v>
      </c>
      <c r="G21" s="633">
        <f t="shared" si="0"/>
        <v>3559.6721311475408</v>
      </c>
      <c r="H21" s="633">
        <f t="shared" si="1"/>
        <v>355.9672131147541</v>
      </c>
      <c r="I21" s="567">
        <f t="shared" si="2"/>
        <v>3915.639344262295</v>
      </c>
      <c r="J21" s="568">
        <v>40</v>
      </c>
      <c r="K21" s="568">
        <v>48</v>
      </c>
      <c r="L21" s="569">
        <f t="shared" si="3"/>
        <v>2.0393954918032784</v>
      </c>
      <c r="N21" s="209"/>
      <c r="O21" s="209"/>
      <c r="P21" s="209"/>
      <c r="Q21" s="209"/>
      <c r="R21" s="209"/>
    </row>
    <row r="22" spans="2:18" ht="12.75">
      <c r="B22" s="683" t="s">
        <v>245</v>
      </c>
      <c r="C22" s="683"/>
      <c r="D22" s="630"/>
      <c r="E22" s="566">
        <v>14634.426229508195</v>
      </c>
      <c r="F22" s="630">
        <v>1463.4426229508197</v>
      </c>
      <c r="G22" s="633">
        <f t="shared" si="0"/>
        <v>16097.868852459014</v>
      </c>
      <c r="H22" s="633">
        <f t="shared" si="1"/>
        <v>1609.7868852459014</v>
      </c>
      <c r="I22" s="567">
        <f t="shared" si="2"/>
        <v>17707.655737704918</v>
      </c>
      <c r="J22" s="568">
        <v>40</v>
      </c>
      <c r="K22" s="568">
        <v>48</v>
      </c>
      <c r="L22" s="569">
        <f t="shared" si="3"/>
        <v>9.222737363387978</v>
      </c>
      <c r="N22" s="209"/>
      <c r="O22" s="209"/>
      <c r="P22" s="209"/>
      <c r="Q22" s="209"/>
      <c r="R22" s="209"/>
    </row>
    <row r="23" spans="2:18" ht="12.75">
      <c r="B23" s="683" t="s">
        <v>123</v>
      </c>
      <c r="C23" s="683"/>
      <c r="D23" s="630"/>
      <c r="E23" s="566">
        <v>14634.426229508195</v>
      </c>
      <c r="F23" s="630">
        <v>1463.4426229508197</v>
      </c>
      <c r="G23" s="633">
        <f t="shared" si="0"/>
        <v>16097.868852459014</v>
      </c>
      <c r="H23" s="633">
        <f t="shared" si="1"/>
        <v>1609.7868852459014</v>
      </c>
      <c r="I23" s="567">
        <f t="shared" si="2"/>
        <v>17707.655737704918</v>
      </c>
      <c r="J23" s="568">
        <v>40</v>
      </c>
      <c r="K23" s="568">
        <v>48</v>
      </c>
      <c r="L23" s="569">
        <f t="shared" si="3"/>
        <v>9.222737363387978</v>
      </c>
      <c r="N23" s="209"/>
      <c r="O23" s="209"/>
      <c r="P23" s="209"/>
      <c r="Q23" s="209"/>
      <c r="R23" s="209"/>
    </row>
    <row r="24" spans="2:18" ht="12.75">
      <c r="B24" s="683" t="s">
        <v>390</v>
      </c>
      <c r="C24" s="683"/>
      <c r="D24" s="630"/>
      <c r="E24" s="566">
        <v>14634.426229508195</v>
      </c>
      <c r="F24" s="630">
        <v>1463.4426229508197</v>
      </c>
      <c r="G24" s="633">
        <f t="shared" si="0"/>
        <v>16097.868852459014</v>
      </c>
      <c r="H24" s="633">
        <f t="shared" si="1"/>
        <v>1609.7868852459014</v>
      </c>
      <c r="I24" s="567">
        <f>G24+H24</f>
        <v>17707.655737704918</v>
      </c>
      <c r="J24" s="568">
        <v>40</v>
      </c>
      <c r="K24" s="568">
        <v>48</v>
      </c>
      <c r="L24" s="569">
        <f aca="true" t="shared" si="4" ref="L24:L30">I24/J24/K24</f>
        <v>9.222737363387978</v>
      </c>
      <c r="N24" s="209"/>
      <c r="O24" s="209"/>
      <c r="P24" s="209"/>
      <c r="Q24" s="209"/>
      <c r="R24" s="209"/>
    </row>
    <row r="25" spans="2:18" ht="12.75">
      <c r="B25" s="683" t="s">
        <v>391</v>
      </c>
      <c r="C25" s="683"/>
      <c r="D25" s="630"/>
      <c r="E25" s="566">
        <v>14634.426229508195</v>
      </c>
      <c r="F25" s="630">
        <v>1463.4426229508197</v>
      </c>
      <c r="G25" s="633">
        <f t="shared" si="0"/>
        <v>16097.868852459014</v>
      </c>
      <c r="H25" s="633">
        <f t="shared" si="1"/>
        <v>1609.7868852459014</v>
      </c>
      <c r="I25" s="567">
        <f>G25+H25</f>
        <v>17707.655737704918</v>
      </c>
      <c r="J25" s="568">
        <v>40</v>
      </c>
      <c r="K25" s="568">
        <v>48</v>
      </c>
      <c r="L25" s="569">
        <f t="shared" si="4"/>
        <v>9.222737363387978</v>
      </c>
      <c r="N25" s="209"/>
      <c r="O25" s="209"/>
      <c r="P25" s="209"/>
      <c r="Q25" s="209"/>
      <c r="R25" s="209"/>
    </row>
    <row r="26" spans="2:18" ht="12.75">
      <c r="B26" s="683" t="s">
        <v>250</v>
      </c>
      <c r="C26" s="683"/>
      <c r="D26" s="630"/>
      <c r="E26" s="566">
        <v>12002</v>
      </c>
      <c r="F26" s="630">
        <v>1200.2</v>
      </c>
      <c r="G26" s="633">
        <f t="shared" si="0"/>
        <v>13202.2</v>
      </c>
      <c r="H26" s="633">
        <f t="shared" si="1"/>
        <v>1320.2200000000003</v>
      </c>
      <c r="I26" s="567">
        <f t="shared" si="2"/>
        <v>14522.420000000002</v>
      </c>
      <c r="J26" s="568">
        <v>40</v>
      </c>
      <c r="K26" s="568">
        <v>48</v>
      </c>
      <c r="L26" s="569">
        <f t="shared" si="4"/>
        <v>7.563760416666668</v>
      </c>
      <c r="N26" s="209"/>
      <c r="O26" s="209"/>
      <c r="P26" s="209"/>
      <c r="Q26" s="209"/>
      <c r="R26" s="209"/>
    </row>
    <row r="27" spans="2:18" ht="12.75">
      <c r="B27" s="683" t="s">
        <v>351</v>
      </c>
      <c r="C27" s="683"/>
      <c r="D27" s="630"/>
      <c r="E27" s="566">
        <v>0</v>
      </c>
      <c r="F27" s="630">
        <v>0</v>
      </c>
      <c r="G27" s="633">
        <f t="shared" si="0"/>
        <v>0</v>
      </c>
      <c r="H27" s="633">
        <f t="shared" si="1"/>
        <v>0</v>
      </c>
      <c r="I27" s="567">
        <f>G27+H27</f>
        <v>0</v>
      </c>
      <c r="J27" s="568">
        <v>40</v>
      </c>
      <c r="K27" s="568">
        <v>48</v>
      </c>
      <c r="L27" s="569">
        <f t="shared" si="4"/>
        <v>0</v>
      </c>
      <c r="N27" s="209"/>
      <c r="O27" s="209"/>
      <c r="P27" s="209"/>
      <c r="Q27" s="209"/>
      <c r="R27" s="209"/>
    </row>
    <row r="28" spans="2:18" ht="12.75">
      <c r="B28" s="683" t="s">
        <v>352</v>
      </c>
      <c r="C28" s="683"/>
      <c r="D28" s="630"/>
      <c r="E28" s="566">
        <v>0</v>
      </c>
      <c r="F28" s="630">
        <v>0</v>
      </c>
      <c r="G28" s="633">
        <f t="shared" si="0"/>
        <v>0</v>
      </c>
      <c r="H28" s="633">
        <f t="shared" si="1"/>
        <v>0</v>
      </c>
      <c r="I28" s="567">
        <f>G28+H28</f>
        <v>0</v>
      </c>
      <c r="J28" s="568">
        <v>40</v>
      </c>
      <c r="K28" s="568">
        <v>48</v>
      </c>
      <c r="L28" s="569">
        <f t="shared" si="4"/>
        <v>0</v>
      </c>
      <c r="N28" s="209"/>
      <c r="O28" s="209"/>
      <c r="P28" s="209"/>
      <c r="Q28" s="209"/>
      <c r="R28" s="209"/>
    </row>
    <row r="29" spans="2:18" ht="12.75">
      <c r="B29" s="683" t="s">
        <v>353</v>
      </c>
      <c r="C29" s="683"/>
      <c r="D29" s="630"/>
      <c r="E29" s="566">
        <v>0</v>
      </c>
      <c r="F29" s="630">
        <v>0</v>
      </c>
      <c r="G29" s="633">
        <f t="shared" si="0"/>
        <v>0</v>
      </c>
      <c r="H29" s="633">
        <f t="shared" si="1"/>
        <v>0</v>
      </c>
      <c r="I29" s="567">
        <f>G29+H29</f>
        <v>0</v>
      </c>
      <c r="J29" s="568">
        <v>40</v>
      </c>
      <c r="K29" s="568">
        <v>48</v>
      </c>
      <c r="L29" s="569">
        <f t="shared" si="4"/>
        <v>0</v>
      </c>
      <c r="N29" s="209"/>
      <c r="O29" s="209"/>
      <c r="P29" s="209"/>
      <c r="Q29" s="209"/>
      <c r="R29" s="209"/>
    </row>
    <row r="30" spans="2:18" ht="12.75">
      <c r="B30" s="683" t="s">
        <v>354</v>
      </c>
      <c r="C30" s="683"/>
      <c r="D30" s="630"/>
      <c r="E30" s="566">
        <v>0</v>
      </c>
      <c r="F30" s="630">
        <v>0</v>
      </c>
      <c r="G30" s="633">
        <f t="shared" si="0"/>
        <v>0</v>
      </c>
      <c r="H30" s="633">
        <f t="shared" si="1"/>
        <v>0</v>
      </c>
      <c r="I30" s="567">
        <f t="shared" si="2"/>
        <v>0</v>
      </c>
      <c r="J30" s="568">
        <v>40</v>
      </c>
      <c r="K30" s="568">
        <v>48</v>
      </c>
      <c r="L30" s="569">
        <f t="shared" si="4"/>
        <v>0</v>
      </c>
      <c r="N30" s="209"/>
      <c r="O30" s="209"/>
      <c r="P30" s="209"/>
      <c r="Q30" s="209"/>
      <c r="R30" s="209"/>
    </row>
    <row r="31" spans="2:18" ht="12.75">
      <c r="B31" s="210"/>
      <c r="C31" s="210"/>
      <c r="D31" s="210"/>
      <c r="E31" s="211"/>
      <c r="F31" s="211"/>
      <c r="G31" s="211"/>
      <c r="H31" s="325"/>
      <c r="I31" s="212"/>
      <c r="J31" s="213"/>
      <c r="K31" s="214"/>
      <c r="L31" s="215"/>
      <c r="N31" s="209"/>
      <c r="O31" s="209"/>
      <c r="P31" s="209"/>
      <c r="Q31" s="209"/>
      <c r="R31" s="209"/>
    </row>
    <row r="32" spans="2:18" ht="12.75" hidden="1">
      <c r="B32" s="198" t="str">
        <f>$B$10</f>
        <v>HC - Anaesthesist</v>
      </c>
      <c r="C32" s="198"/>
      <c r="D32" s="198"/>
      <c r="E32" s="211">
        <v>5495</v>
      </c>
      <c r="F32" s="211"/>
      <c r="G32" s="211"/>
      <c r="H32" s="211">
        <f aca="true" t="shared" si="5" ref="H32:H38">10%*E32</f>
        <v>549.5</v>
      </c>
      <c r="I32" s="212">
        <f aca="true" t="shared" si="6" ref="I32:I38">E32+H32</f>
        <v>6044.5</v>
      </c>
      <c r="J32" s="213">
        <v>40</v>
      </c>
      <c r="K32" s="214">
        <v>48</v>
      </c>
      <c r="L32" s="215">
        <f aca="true" t="shared" si="7" ref="L32:L38">I32/J32/K32</f>
        <v>3.1481770833333336</v>
      </c>
      <c r="N32" s="209"/>
      <c r="O32" s="209"/>
      <c r="P32" s="209"/>
      <c r="Q32" s="209"/>
      <c r="R32" s="209"/>
    </row>
    <row r="33" spans="2:18" ht="12.75" hidden="1">
      <c r="B33" s="198" t="str">
        <f>$B$5</f>
        <v>HC - Auxiliary/Attendant</v>
      </c>
      <c r="C33" s="198"/>
      <c r="D33" s="198"/>
      <c r="E33" s="211">
        <v>4762</v>
      </c>
      <c r="F33" s="211"/>
      <c r="G33" s="211"/>
      <c r="H33" s="211">
        <f t="shared" si="5"/>
        <v>476.20000000000005</v>
      </c>
      <c r="I33" s="212">
        <f t="shared" si="6"/>
        <v>5238.2</v>
      </c>
      <c r="J33" s="213">
        <v>40</v>
      </c>
      <c r="K33" s="214">
        <v>48</v>
      </c>
      <c r="L33" s="215">
        <f t="shared" si="7"/>
        <v>2.7282291666666665</v>
      </c>
      <c r="N33" s="209"/>
      <c r="O33" s="209"/>
      <c r="P33" s="209"/>
      <c r="Q33" s="209"/>
      <c r="R33" s="209"/>
    </row>
    <row r="34" spans="2:18" ht="12.75" hidden="1">
      <c r="B34" s="198" t="str">
        <f>$B$7</f>
        <v>HC - General Physician</v>
      </c>
      <c r="C34" s="198"/>
      <c r="D34" s="198"/>
      <c r="E34" s="211">
        <v>7326</v>
      </c>
      <c r="F34" s="211"/>
      <c r="G34" s="211"/>
      <c r="H34" s="211">
        <f t="shared" si="5"/>
        <v>732.6</v>
      </c>
      <c r="I34" s="212">
        <f t="shared" si="6"/>
        <v>8058.6</v>
      </c>
      <c r="J34" s="213">
        <v>40</v>
      </c>
      <c r="K34" s="214">
        <v>48</v>
      </c>
      <c r="L34" s="215">
        <f t="shared" si="7"/>
        <v>4.1971875</v>
      </c>
      <c r="N34" s="209"/>
      <c r="O34" s="209"/>
      <c r="P34" s="209"/>
      <c r="Q34" s="209"/>
      <c r="R34" s="209"/>
    </row>
    <row r="35" spans="2:18" s="39" customFormat="1" ht="12.75" hidden="1">
      <c r="B35" s="198" t="str">
        <f>$B$11</f>
        <v>HC - Lab Technician</v>
      </c>
      <c r="C35" s="198"/>
      <c r="D35" s="198"/>
      <c r="E35" s="211">
        <v>4945</v>
      </c>
      <c r="F35" s="211"/>
      <c r="G35" s="211"/>
      <c r="H35" s="211">
        <f t="shared" si="5"/>
        <v>494.5</v>
      </c>
      <c r="I35" s="212">
        <f t="shared" si="6"/>
        <v>5439.5</v>
      </c>
      <c r="J35" s="213">
        <v>40</v>
      </c>
      <c r="K35" s="214">
        <v>48</v>
      </c>
      <c r="L35" s="215">
        <f t="shared" si="7"/>
        <v>2.833072916666667</v>
      </c>
      <c r="N35" s="40"/>
      <c r="O35" s="40"/>
      <c r="P35" s="40"/>
      <c r="Q35" s="40"/>
      <c r="R35" s="40"/>
    </row>
    <row r="36" spans="2:18" ht="12.75" hidden="1">
      <c r="B36" s="198" t="str">
        <f>$B$6</f>
        <v>HC - Nurse/Midwife</v>
      </c>
      <c r="C36" s="198"/>
      <c r="D36" s="198"/>
      <c r="E36" s="211">
        <v>5311</v>
      </c>
      <c r="F36" s="211"/>
      <c r="G36" s="211"/>
      <c r="H36" s="211">
        <f t="shared" si="5"/>
        <v>531.1</v>
      </c>
      <c r="I36" s="212">
        <f t="shared" si="6"/>
        <v>5842.1</v>
      </c>
      <c r="J36" s="213">
        <v>40</v>
      </c>
      <c r="K36" s="214">
        <v>48</v>
      </c>
      <c r="L36" s="215">
        <f t="shared" si="7"/>
        <v>3.042760416666667</v>
      </c>
      <c r="M36" s="208"/>
      <c r="N36" s="209"/>
      <c r="O36" s="209"/>
      <c r="P36" s="209"/>
      <c r="Q36" s="209"/>
      <c r="R36" s="209"/>
    </row>
    <row r="37" spans="2:18" ht="12.75" hidden="1">
      <c r="B37" s="198" t="str">
        <f>$B$8</f>
        <v>HC - Obstetrician</v>
      </c>
      <c r="C37" s="198"/>
      <c r="D37" s="198"/>
      <c r="E37" s="211">
        <v>8242</v>
      </c>
      <c r="F37" s="211"/>
      <c r="G37" s="211"/>
      <c r="H37" s="211">
        <f t="shared" si="5"/>
        <v>824.2</v>
      </c>
      <c r="I37" s="212">
        <f t="shared" si="6"/>
        <v>9066.2</v>
      </c>
      <c r="J37" s="213">
        <v>40</v>
      </c>
      <c r="K37" s="214">
        <v>48</v>
      </c>
      <c r="L37" s="215">
        <f t="shared" si="7"/>
        <v>4.721979166666667</v>
      </c>
      <c r="M37" s="208"/>
      <c r="N37" s="209"/>
      <c r="O37" s="209"/>
      <c r="P37" s="209"/>
      <c r="Q37" s="209"/>
      <c r="R37" s="209"/>
    </row>
    <row r="38" spans="2:18" ht="12.75" hidden="1">
      <c r="B38" s="198" t="str">
        <f>$B$9</f>
        <v>HC - Paediatrician</v>
      </c>
      <c r="C38" s="198"/>
      <c r="D38" s="198"/>
      <c r="E38" s="211">
        <v>8242</v>
      </c>
      <c r="F38" s="211"/>
      <c r="G38" s="211"/>
      <c r="H38" s="211">
        <f t="shared" si="5"/>
        <v>824.2</v>
      </c>
      <c r="I38" s="212">
        <f t="shared" si="6"/>
        <v>9066.2</v>
      </c>
      <c r="J38" s="213">
        <v>40</v>
      </c>
      <c r="K38" s="214">
        <v>48</v>
      </c>
      <c r="L38" s="215">
        <f t="shared" si="7"/>
        <v>4.721979166666667</v>
      </c>
      <c r="M38" s="208"/>
      <c r="N38" s="209"/>
      <c r="O38" s="209"/>
      <c r="P38" s="209"/>
      <c r="Q38" s="209"/>
      <c r="R38" s="209"/>
    </row>
    <row r="39" spans="13:18" ht="12.75" hidden="1">
      <c r="M39" s="209"/>
      <c r="N39" s="209"/>
      <c r="O39" s="209"/>
      <c r="P39" s="209"/>
      <c r="Q39" s="209"/>
      <c r="R39" s="209"/>
    </row>
    <row r="40" spans="5:18" ht="12.75">
      <c r="E40" s="324"/>
      <c r="M40" s="209"/>
      <c r="N40" s="209"/>
      <c r="O40" s="209"/>
      <c r="P40" s="209"/>
      <c r="Q40" s="209"/>
      <c r="R40" s="209"/>
    </row>
    <row r="41" spans="2:6" ht="12.75">
      <c r="B41" s="339"/>
      <c r="C41" s="339"/>
      <c r="D41" s="339"/>
      <c r="E41" s="324"/>
      <c r="F41" s="324"/>
    </row>
    <row r="42" spans="2:6" ht="12.75">
      <c r="B42" s="339"/>
      <c r="C42" s="339"/>
      <c r="D42" s="339"/>
      <c r="E42" s="324"/>
      <c r="F42" s="324"/>
    </row>
    <row r="43" spans="2:6" ht="12.75">
      <c r="B43" s="339"/>
      <c r="C43" s="339"/>
      <c r="D43" s="339"/>
      <c r="E43" s="324"/>
      <c r="F43" s="324"/>
    </row>
    <row r="44" spans="2:6" ht="12.75">
      <c r="B44" s="339"/>
      <c r="C44" s="339"/>
      <c r="D44" s="339"/>
      <c r="E44" s="324"/>
      <c r="F44" s="324"/>
    </row>
    <row r="45" spans="2:6" ht="12.75">
      <c r="B45" s="339"/>
      <c r="C45" s="339"/>
      <c r="D45" s="339"/>
      <c r="E45" s="324"/>
      <c r="F45" s="324"/>
    </row>
    <row r="46" spans="2:6" ht="12.75">
      <c r="B46" s="339"/>
      <c r="C46" s="339"/>
      <c r="D46" s="339"/>
      <c r="E46" s="324"/>
      <c r="F46" s="324"/>
    </row>
    <row r="47" spans="2:6" ht="12.75">
      <c r="B47" s="339"/>
      <c r="C47" s="339"/>
      <c r="D47" s="339"/>
      <c r="E47" s="324"/>
      <c r="F47" s="324"/>
    </row>
    <row r="48" spans="2:6" ht="12.75">
      <c r="B48" s="339"/>
      <c r="C48" s="339"/>
      <c r="D48" s="339"/>
      <c r="E48" s="324"/>
      <c r="F48" s="324"/>
    </row>
    <row r="49" spans="2:6" ht="12.75">
      <c r="B49" s="339"/>
      <c r="C49" s="339"/>
      <c r="D49" s="339"/>
      <c r="E49" s="324"/>
      <c r="F49" s="324"/>
    </row>
  </sheetData>
  <sheetProtection/>
  <mergeCells count="3">
    <mergeCell ref="B3:G3"/>
    <mergeCell ref="B2:G2"/>
    <mergeCell ref="H1:J1"/>
  </mergeCells>
  <hyperlinks>
    <hyperlink ref="H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1">
      <selection activeCell="A1" sqref="A1"/>
    </sheetView>
  </sheetViews>
  <sheetFormatPr defaultColWidth="9.140625" defaultRowHeight="12.75"/>
  <cols>
    <col min="1" max="1" width="4.7109375" style="570"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0"/>
      <c r="B1" s="672" t="s">
        <v>392</v>
      </c>
      <c r="C1" s="673"/>
      <c r="D1" s="673"/>
      <c r="E1" s="673"/>
      <c r="F1" s="718" t="s">
        <v>342</v>
      </c>
      <c r="G1" s="719"/>
      <c r="H1" s="719"/>
      <c r="I1" s="673"/>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row>
    <row r="2" spans="1:55" s="35" customFormat="1" ht="12.75">
      <c r="A2" s="587"/>
      <c r="B2" s="721" t="s">
        <v>106</v>
      </c>
      <c r="C2" s="721"/>
      <c r="D2" s="721"/>
      <c r="E2" s="363"/>
      <c r="F2" s="189"/>
      <c r="G2" s="189"/>
      <c r="H2" s="189"/>
      <c r="I2" s="189"/>
      <c r="J2" s="41"/>
      <c r="K2" s="41"/>
      <c r="L2" s="34"/>
      <c r="M2" s="34"/>
      <c r="N2" s="34"/>
      <c r="O2" s="34"/>
      <c r="P2" s="34"/>
      <c r="Q2" s="34"/>
      <c r="R2" s="34"/>
      <c r="S2" s="34"/>
      <c r="T2" s="34"/>
      <c r="U2" s="34"/>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row>
    <row r="3" spans="1:55" s="35" customFormat="1" ht="12.75">
      <c r="A3" s="587"/>
      <c r="B3" s="720" t="s">
        <v>282</v>
      </c>
      <c r="C3" s="720"/>
      <c r="D3" s="720"/>
      <c r="E3" s="722"/>
      <c r="F3" s="189"/>
      <c r="G3" s="189"/>
      <c r="H3" s="189"/>
      <c r="I3" s="189"/>
      <c r="J3" s="41"/>
      <c r="K3" s="41"/>
      <c r="L3" s="34"/>
      <c r="M3" s="34"/>
      <c r="N3" s="34"/>
      <c r="O3" s="34"/>
      <c r="P3" s="34"/>
      <c r="Q3" s="34"/>
      <c r="R3" s="34"/>
      <c r="S3" s="34"/>
      <c r="T3" s="34"/>
      <c r="U3" s="34"/>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row>
    <row r="4" spans="1:55" s="192" customFormat="1" ht="12.75">
      <c r="A4" s="570"/>
      <c r="B4" s="190" t="s">
        <v>214</v>
      </c>
      <c r="C4" s="191"/>
      <c r="D4" s="43"/>
      <c r="E4" s="43"/>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row>
    <row r="5" spans="1:55" s="194" customFormat="1" ht="78.75">
      <c r="A5" s="589"/>
      <c r="B5" s="87" t="s">
        <v>80</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163</v>
      </c>
      <c r="M5" s="193" t="s">
        <v>303</v>
      </c>
      <c r="N5" s="193" t="s">
        <v>164</v>
      </c>
      <c r="O5" s="193" t="s">
        <v>309</v>
      </c>
      <c r="P5" s="193" t="s">
        <v>165</v>
      </c>
      <c r="Q5" s="193" t="s">
        <v>310</v>
      </c>
      <c r="R5" s="193" t="s">
        <v>166</v>
      </c>
      <c r="S5" s="193" t="s">
        <v>311</v>
      </c>
      <c r="T5" s="193" t="s">
        <v>167</v>
      </c>
      <c r="U5" s="193" t="s">
        <v>312</v>
      </c>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2:55" ht="12.75">
      <c r="B6" s="195"/>
      <c r="C6" s="257"/>
      <c r="D6" s="573"/>
      <c r="E6" s="573"/>
      <c r="F6" s="573"/>
      <c r="G6" s="573"/>
      <c r="H6" s="573"/>
      <c r="I6" s="573"/>
      <c r="J6" s="574"/>
      <c r="K6" s="574"/>
      <c r="L6" s="574"/>
      <c r="M6" s="574"/>
      <c r="N6" s="574"/>
      <c r="O6" s="574"/>
      <c r="P6" s="574"/>
      <c r="Q6" s="574"/>
      <c r="R6" s="574"/>
      <c r="S6" s="574"/>
      <c r="T6" s="574"/>
      <c r="U6" s="574"/>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row>
    <row r="7" spans="2:55" ht="12.75">
      <c r="B7" s="196" t="s">
        <v>244</v>
      </c>
      <c r="C7" s="575"/>
      <c r="D7" s="576"/>
      <c r="E7" s="576"/>
      <c r="F7" s="576"/>
      <c r="G7" s="576"/>
      <c r="H7" s="576"/>
      <c r="I7" s="576"/>
      <c r="J7" s="577"/>
      <c r="K7" s="577"/>
      <c r="L7" s="577"/>
      <c r="M7" s="577"/>
      <c r="N7" s="577"/>
      <c r="O7" s="577"/>
      <c r="P7" s="577"/>
      <c r="Q7" s="577"/>
      <c r="R7" s="577"/>
      <c r="S7" s="577"/>
      <c r="T7" s="577"/>
      <c r="U7" s="577"/>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row>
    <row r="8" spans="2:55" ht="12.75">
      <c r="B8" s="634" t="s">
        <v>388</v>
      </c>
      <c r="C8" s="571"/>
      <c r="D8" s="571"/>
      <c r="E8" s="571"/>
      <c r="F8" s="571"/>
      <c r="G8" s="571"/>
      <c r="H8" s="571"/>
      <c r="I8" s="571"/>
      <c r="J8" s="571"/>
      <c r="K8" s="571"/>
      <c r="L8" s="572">
        <f>(SUM($C8,$D8,$F8)+$K8)/60</f>
        <v>0</v>
      </c>
      <c r="M8" s="572">
        <f aca="true" t="shared" si="0" ref="M8:M17">(SUM($E8:$F8))/60</f>
        <v>0</v>
      </c>
      <c r="N8" s="572">
        <f>(SUM($C8,$D8,$F8)+$K8+G8)/60</f>
        <v>0</v>
      </c>
      <c r="O8" s="572">
        <f aca="true" t="shared" si="1" ref="O8:O17">(SUM($E8:$F8)+G8)/60</f>
        <v>0</v>
      </c>
      <c r="P8" s="572">
        <f>(SUM($C8,$D8,$F8)+$K8+H8)/60</f>
        <v>0</v>
      </c>
      <c r="Q8" s="572">
        <f aca="true" t="shared" si="2" ref="Q8:Q17">(SUM($E8:$F8)+H8)/60</f>
        <v>0</v>
      </c>
      <c r="R8" s="572">
        <f>(SUM($C8,$D8,$F8)+$K8+I8)/60</f>
        <v>0</v>
      </c>
      <c r="S8" s="572">
        <f aca="true" t="shared" si="3" ref="S8:S17">(SUM($E8:$F8)+I8)/60</f>
        <v>0</v>
      </c>
      <c r="T8" s="572">
        <f>(SUM($C8,$D8,$F8)+$K8+J8)/60</f>
        <v>0</v>
      </c>
      <c r="U8" s="572">
        <f aca="true" t="shared" si="4" ref="U8:U17">(SUM($E8:$F8)+J8)/60</f>
        <v>0</v>
      </c>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row>
    <row r="9" spans="2:55" ht="12.75">
      <c r="B9" s="634" t="s">
        <v>187</v>
      </c>
      <c r="C9" s="571">
        <v>20</v>
      </c>
      <c r="D9" s="571"/>
      <c r="E9" s="571"/>
      <c r="F9" s="571"/>
      <c r="G9" s="571"/>
      <c r="H9" s="571"/>
      <c r="I9" s="571"/>
      <c r="J9" s="571"/>
      <c r="K9" s="417"/>
      <c r="L9" s="572">
        <f aca="true" t="shared" si="5" ref="L9:L17">(SUM($C9,$D9,$F9)+$K9)/60</f>
        <v>0.3333333333333333</v>
      </c>
      <c r="M9" s="572">
        <f t="shared" si="0"/>
        <v>0</v>
      </c>
      <c r="N9" s="572">
        <f aca="true" t="shared" si="6" ref="N9:N17">(SUM($C9,$D9,$F9)+$K9+G9)/60</f>
        <v>0.3333333333333333</v>
      </c>
      <c r="O9" s="572">
        <f t="shared" si="1"/>
        <v>0</v>
      </c>
      <c r="P9" s="572">
        <f aca="true" t="shared" si="7" ref="P9:P17">(SUM($C9,$D9,$F9)+$K9+H9)/60</f>
        <v>0.3333333333333333</v>
      </c>
      <c r="Q9" s="572">
        <f t="shared" si="2"/>
        <v>0</v>
      </c>
      <c r="R9" s="572">
        <f aca="true" t="shared" si="8" ref="R9:R17">(SUM($C9,$D9,$F9)+$K9+I9)/60</f>
        <v>0.3333333333333333</v>
      </c>
      <c r="S9" s="572">
        <f t="shared" si="3"/>
        <v>0</v>
      </c>
      <c r="T9" s="572">
        <f aca="true" t="shared" si="9" ref="T9:T17">(SUM($C9,$D9,$F9)+$K9+J9)/60</f>
        <v>0.3333333333333333</v>
      </c>
      <c r="U9" s="572">
        <f t="shared" si="4"/>
        <v>0</v>
      </c>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row>
    <row r="10" spans="2:55" ht="12.75">
      <c r="B10" s="634" t="s">
        <v>387</v>
      </c>
      <c r="C10" s="571">
        <v>8</v>
      </c>
      <c r="D10" s="571">
        <v>25</v>
      </c>
      <c r="E10" s="571">
        <v>25</v>
      </c>
      <c r="F10" s="571"/>
      <c r="G10" s="571">
        <v>10</v>
      </c>
      <c r="H10" s="571">
        <v>20</v>
      </c>
      <c r="I10" s="571"/>
      <c r="J10" s="571"/>
      <c r="K10" s="571"/>
      <c r="L10" s="572">
        <f t="shared" si="5"/>
        <v>0.55</v>
      </c>
      <c r="M10" s="572">
        <f t="shared" si="0"/>
        <v>0.4166666666666667</v>
      </c>
      <c r="N10" s="572">
        <f t="shared" si="6"/>
        <v>0.7166666666666667</v>
      </c>
      <c r="O10" s="572">
        <f t="shared" si="1"/>
        <v>0.5833333333333334</v>
      </c>
      <c r="P10" s="572">
        <f t="shared" si="7"/>
        <v>0.8833333333333333</v>
      </c>
      <c r="Q10" s="572">
        <f t="shared" si="2"/>
        <v>0.75</v>
      </c>
      <c r="R10" s="572">
        <f t="shared" si="8"/>
        <v>0.55</v>
      </c>
      <c r="S10" s="572">
        <f t="shared" si="3"/>
        <v>0.4166666666666667</v>
      </c>
      <c r="T10" s="572">
        <f t="shared" si="9"/>
        <v>0.55</v>
      </c>
      <c r="U10" s="572">
        <f t="shared" si="4"/>
        <v>0.4166666666666667</v>
      </c>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row>
    <row r="11" spans="2:55" ht="12.75">
      <c r="B11" s="634" t="s">
        <v>246</v>
      </c>
      <c r="C11" s="571"/>
      <c r="D11" s="571">
        <v>20</v>
      </c>
      <c r="E11" s="571">
        <v>20</v>
      </c>
      <c r="F11" s="571"/>
      <c r="G11" s="571">
        <v>10</v>
      </c>
      <c r="H11" s="571"/>
      <c r="I11" s="571"/>
      <c r="J11" s="571"/>
      <c r="K11" s="571"/>
      <c r="L11" s="572">
        <f t="shared" si="5"/>
        <v>0.3333333333333333</v>
      </c>
      <c r="M11" s="572">
        <f t="shared" si="0"/>
        <v>0.3333333333333333</v>
      </c>
      <c r="N11" s="572">
        <f t="shared" si="6"/>
        <v>0.5</v>
      </c>
      <c r="O11" s="572">
        <f t="shared" si="1"/>
        <v>0.5</v>
      </c>
      <c r="P11" s="572">
        <f t="shared" si="7"/>
        <v>0.3333333333333333</v>
      </c>
      <c r="Q11" s="572">
        <f t="shared" si="2"/>
        <v>0.3333333333333333</v>
      </c>
      <c r="R11" s="572">
        <f t="shared" si="8"/>
        <v>0.3333333333333333</v>
      </c>
      <c r="S11" s="572">
        <f t="shared" si="3"/>
        <v>0.3333333333333333</v>
      </c>
      <c r="T11" s="572">
        <f t="shared" si="9"/>
        <v>0.3333333333333333</v>
      </c>
      <c r="U11" s="572">
        <f t="shared" si="4"/>
        <v>0.3333333333333333</v>
      </c>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row>
    <row r="12" spans="2:55" ht="12.75">
      <c r="B12" s="634" t="s">
        <v>183</v>
      </c>
      <c r="C12" s="571"/>
      <c r="D12" s="571">
        <v>25</v>
      </c>
      <c r="E12" s="571">
        <v>25</v>
      </c>
      <c r="F12" s="571">
        <v>8</v>
      </c>
      <c r="G12" s="571"/>
      <c r="H12" s="571"/>
      <c r="I12" s="571"/>
      <c r="J12" s="571"/>
      <c r="K12" s="571">
        <v>8</v>
      </c>
      <c r="L12" s="572">
        <f t="shared" si="5"/>
        <v>0.6833333333333333</v>
      </c>
      <c r="M12" s="572">
        <f t="shared" si="0"/>
        <v>0.55</v>
      </c>
      <c r="N12" s="572">
        <f t="shared" si="6"/>
        <v>0.6833333333333333</v>
      </c>
      <c r="O12" s="572">
        <f t="shared" si="1"/>
        <v>0.55</v>
      </c>
      <c r="P12" s="572">
        <f t="shared" si="7"/>
        <v>0.6833333333333333</v>
      </c>
      <c r="Q12" s="572">
        <f t="shared" si="2"/>
        <v>0.55</v>
      </c>
      <c r="R12" s="572">
        <f t="shared" si="8"/>
        <v>0.6833333333333333</v>
      </c>
      <c r="S12" s="572">
        <f t="shared" si="3"/>
        <v>0.55</v>
      </c>
      <c r="T12" s="572">
        <f t="shared" si="9"/>
        <v>0.6833333333333333</v>
      </c>
      <c r="U12" s="572">
        <f t="shared" si="4"/>
        <v>0.55</v>
      </c>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0"/>
      <c r="AY12" s="570"/>
      <c r="AZ12" s="570"/>
      <c r="BA12" s="570"/>
      <c r="BB12" s="570"/>
      <c r="BC12" s="570"/>
    </row>
    <row r="13" spans="2:55" ht="12.75">
      <c r="B13" s="634" t="s">
        <v>389</v>
      </c>
      <c r="C13" s="571"/>
      <c r="D13" s="571"/>
      <c r="E13" s="571"/>
      <c r="F13" s="571"/>
      <c r="G13" s="571">
        <v>5</v>
      </c>
      <c r="H13" s="571"/>
      <c r="I13" s="571"/>
      <c r="J13" s="571"/>
      <c r="K13" s="571"/>
      <c r="L13" s="572">
        <f t="shared" si="5"/>
        <v>0</v>
      </c>
      <c r="M13" s="572">
        <f t="shared" si="0"/>
        <v>0</v>
      </c>
      <c r="N13" s="572">
        <f t="shared" si="6"/>
        <v>0.08333333333333333</v>
      </c>
      <c r="O13" s="572">
        <f t="shared" si="1"/>
        <v>0.08333333333333333</v>
      </c>
      <c r="P13" s="572">
        <f t="shared" si="7"/>
        <v>0</v>
      </c>
      <c r="Q13" s="572">
        <f t="shared" si="2"/>
        <v>0</v>
      </c>
      <c r="R13" s="572">
        <f t="shared" si="8"/>
        <v>0</v>
      </c>
      <c r="S13" s="572">
        <f t="shared" si="3"/>
        <v>0</v>
      </c>
      <c r="T13" s="572">
        <f t="shared" si="9"/>
        <v>0</v>
      </c>
      <c r="U13" s="572">
        <f t="shared" si="4"/>
        <v>0</v>
      </c>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row>
    <row r="14" spans="2:55" ht="12.75">
      <c r="B14" s="634" t="s">
        <v>245</v>
      </c>
      <c r="C14" s="571"/>
      <c r="D14" s="571"/>
      <c r="E14" s="571"/>
      <c r="F14" s="571"/>
      <c r="G14" s="571"/>
      <c r="H14" s="571"/>
      <c r="I14" s="571"/>
      <c r="J14" s="571"/>
      <c r="K14" s="571"/>
      <c r="L14" s="572">
        <f t="shared" si="5"/>
        <v>0</v>
      </c>
      <c r="M14" s="572">
        <f t="shared" si="0"/>
        <v>0</v>
      </c>
      <c r="N14" s="572">
        <f t="shared" si="6"/>
        <v>0</v>
      </c>
      <c r="O14" s="572">
        <f t="shared" si="1"/>
        <v>0</v>
      </c>
      <c r="P14" s="572">
        <f t="shared" si="7"/>
        <v>0</v>
      </c>
      <c r="Q14" s="572">
        <f t="shared" si="2"/>
        <v>0</v>
      </c>
      <c r="R14" s="572">
        <f t="shared" si="8"/>
        <v>0</v>
      </c>
      <c r="S14" s="572">
        <f t="shared" si="3"/>
        <v>0</v>
      </c>
      <c r="T14" s="572">
        <f t="shared" si="9"/>
        <v>0</v>
      </c>
      <c r="U14" s="572">
        <f t="shared" si="4"/>
        <v>0</v>
      </c>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row>
    <row r="15" spans="2:55" ht="12.75">
      <c r="B15" s="634" t="s">
        <v>123</v>
      </c>
      <c r="C15" s="571">
        <v>5</v>
      </c>
      <c r="D15" s="571">
        <v>25</v>
      </c>
      <c r="E15" s="571">
        <v>25</v>
      </c>
      <c r="F15" s="571">
        <v>8</v>
      </c>
      <c r="G15" s="571">
        <v>10</v>
      </c>
      <c r="H15" s="571"/>
      <c r="I15" s="571"/>
      <c r="J15" s="571"/>
      <c r="K15" s="571"/>
      <c r="L15" s="572">
        <f t="shared" si="5"/>
        <v>0.6333333333333333</v>
      </c>
      <c r="M15" s="572">
        <f t="shared" si="0"/>
        <v>0.55</v>
      </c>
      <c r="N15" s="572">
        <f t="shared" si="6"/>
        <v>0.8</v>
      </c>
      <c r="O15" s="572">
        <f t="shared" si="1"/>
        <v>0.7166666666666667</v>
      </c>
      <c r="P15" s="572">
        <f t="shared" si="7"/>
        <v>0.6333333333333333</v>
      </c>
      <c r="Q15" s="572">
        <f t="shared" si="2"/>
        <v>0.55</v>
      </c>
      <c r="R15" s="572">
        <f t="shared" si="8"/>
        <v>0.6333333333333333</v>
      </c>
      <c r="S15" s="572">
        <f t="shared" si="3"/>
        <v>0.55</v>
      </c>
      <c r="T15" s="572">
        <f t="shared" si="9"/>
        <v>0.6333333333333333</v>
      </c>
      <c r="U15" s="572">
        <f t="shared" si="4"/>
        <v>0.55</v>
      </c>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row>
    <row r="16" spans="2:55" ht="12.75">
      <c r="B16" s="634" t="s">
        <v>250</v>
      </c>
      <c r="C16" s="571">
        <v>10</v>
      </c>
      <c r="D16" s="571"/>
      <c r="E16" s="571"/>
      <c r="F16" s="571"/>
      <c r="G16" s="571"/>
      <c r="H16" s="571"/>
      <c r="I16" s="571"/>
      <c r="J16" s="571"/>
      <c r="K16" s="571"/>
      <c r="L16" s="572">
        <f t="shared" si="5"/>
        <v>0.16666666666666666</v>
      </c>
      <c r="M16" s="572">
        <f t="shared" si="0"/>
        <v>0</v>
      </c>
      <c r="N16" s="572">
        <f t="shared" si="6"/>
        <v>0.16666666666666666</v>
      </c>
      <c r="O16" s="572">
        <f t="shared" si="1"/>
        <v>0</v>
      </c>
      <c r="P16" s="572">
        <f t="shared" si="7"/>
        <v>0.16666666666666666</v>
      </c>
      <c r="Q16" s="572">
        <f t="shared" si="2"/>
        <v>0</v>
      </c>
      <c r="R16" s="572">
        <f t="shared" si="8"/>
        <v>0.16666666666666666</v>
      </c>
      <c r="S16" s="572">
        <f t="shared" si="3"/>
        <v>0</v>
      </c>
      <c r="T16" s="572">
        <f t="shared" si="9"/>
        <v>0.16666666666666666</v>
      </c>
      <c r="U16" s="572">
        <f t="shared" si="4"/>
        <v>0</v>
      </c>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row>
    <row r="17" spans="2:55" ht="12.75">
      <c r="B17" s="634" t="s">
        <v>351</v>
      </c>
      <c r="C17" s="571"/>
      <c r="D17" s="571"/>
      <c r="E17" s="571"/>
      <c r="F17" s="571"/>
      <c r="G17" s="571"/>
      <c r="H17" s="571"/>
      <c r="I17" s="571"/>
      <c r="J17" s="571"/>
      <c r="K17" s="571"/>
      <c r="L17" s="572">
        <f t="shared" si="5"/>
        <v>0</v>
      </c>
      <c r="M17" s="572">
        <f t="shared" si="0"/>
        <v>0</v>
      </c>
      <c r="N17" s="572">
        <f t="shared" si="6"/>
        <v>0</v>
      </c>
      <c r="O17" s="572">
        <f t="shared" si="1"/>
        <v>0</v>
      </c>
      <c r="P17" s="572">
        <f t="shared" si="7"/>
        <v>0</v>
      </c>
      <c r="Q17" s="572">
        <f t="shared" si="2"/>
        <v>0</v>
      </c>
      <c r="R17" s="572">
        <f t="shared" si="8"/>
        <v>0</v>
      </c>
      <c r="S17" s="572">
        <f t="shared" si="3"/>
        <v>0</v>
      </c>
      <c r="T17" s="572">
        <f t="shared" si="9"/>
        <v>0</v>
      </c>
      <c r="U17" s="572">
        <f t="shared" si="4"/>
        <v>0</v>
      </c>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row>
    <row r="18" spans="2:55" ht="12.75">
      <c r="B18" s="198"/>
      <c r="C18" s="197"/>
      <c r="D18" s="197"/>
      <c r="E18" s="197"/>
      <c r="F18" s="197"/>
      <c r="G18" s="197"/>
      <c r="H18" s="197"/>
      <c r="I18" s="197"/>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row>
    <row r="19" spans="22:55" ht="12.75">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row>
    <row r="20" spans="1:55" s="188" customFormat="1" ht="15.75">
      <c r="A20" s="570"/>
      <c r="B20" s="38" t="s">
        <v>230</v>
      </c>
      <c r="C20" s="38"/>
      <c r="D20" s="38"/>
      <c r="E20" s="38"/>
      <c r="F20" s="38"/>
      <c r="G20" s="38"/>
      <c r="H20" s="38"/>
      <c r="I20" s="38"/>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row>
    <row r="21" spans="10:55" ht="12.75">
      <c r="J21" s="192"/>
      <c r="K21" s="192"/>
      <c r="L21" s="192"/>
      <c r="M21" s="192"/>
      <c r="N21" s="192"/>
      <c r="O21" s="192"/>
      <c r="P21" s="192"/>
      <c r="Q21" s="192"/>
      <c r="R21" s="192"/>
      <c r="S21" s="192"/>
      <c r="T21" s="192"/>
      <c r="U21" s="192"/>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row>
    <row r="22" spans="1:55" s="207" customFormat="1" ht="67.5">
      <c r="A22" s="590"/>
      <c r="B22" s="578" t="s">
        <v>80</v>
      </c>
      <c r="C22" s="88" t="s">
        <v>81</v>
      </c>
      <c r="D22" s="88" t="s">
        <v>168</v>
      </c>
      <c r="E22" s="88" t="s">
        <v>302</v>
      </c>
      <c r="F22" s="88" t="s">
        <v>169</v>
      </c>
      <c r="G22" s="88" t="s">
        <v>313</v>
      </c>
      <c r="H22" s="88" t="s">
        <v>170</v>
      </c>
      <c r="I22" s="88" t="s">
        <v>314</v>
      </c>
      <c r="J22" s="88" t="s">
        <v>171</v>
      </c>
      <c r="K22" s="88" t="s">
        <v>315</v>
      </c>
      <c r="L22" s="88" t="s">
        <v>172</v>
      </c>
      <c r="M22" s="88" t="s">
        <v>316</v>
      </c>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row>
    <row r="23" spans="1:55" s="192" customFormat="1" ht="12" customHeight="1">
      <c r="A23" s="570"/>
      <c r="B23" s="682" t="str">
        <f aca="true" t="shared" si="10" ref="B23:B32">B8</f>
        <v>OPD nurse</v>
      </c>
      <c r="C23" s="635">
        <f aca="true" t="shared" si="11" ref="C23:C32">VLOOKUP(B23,Occupations,11,FALSE)</f>
        <v>6.2029030054644805</v>
      </c>
      <c r="D23" s="704">
        <f aca="true" t="shared" si="12" ref="D23:D32">$C23*L8</f>
        <v>0</v>
      </c>
      <c r="E23" s="704">
        <f aca="true" t="shared" si="13" ref="E23:E32">$C23*M8</f>
        <v>0</v>
      </c>
      <c r="F23" s="704">
        <f aca="true" t="shared" si="14" ref="F23:G32">$C23*N8</f>
        <v>0</v>
      </c>
      <c r="G23" s="704">
        <f t="shared" si="14"/>
        <v>0</v>
      </c>
      <c r="H23" s="704">
        <f aca="true" t="shared" si="15" ref="H23:H32">$C23*P8</f>
        <v>0</v>
      </c>
      <c r="I23" s="704">
        <f aca="true" t="shared" si="16" ref="I23:I32">$C23*Q8</f>
        <v>0</v>
      </c>
      <c r="J23" s="704">
        <f aca="true" t="shared" si="17" ref="J23:J32">$C23*R8</f>
        <v>0</v>
      </c>
      <c r="K23" s="704">
        <f aca="true" t="shared" si="18" ref="K23:K32">$C23*S8</f>
        <v>0</v>
      </c>
      <c r="L23" s="704">
        <f aca="true" t="shared" si="19" ref="L23:L32">$C23*T8</f>
        <v>0</v>
      </c>
      <c r="M23" s="704">
        <f aca="true" t="shared" si="20" ref="M23:M32">$C23*U8</f>
        <v>0</v>
      </c>
      <c r="N23" s="208"/>
      <c r="O23" s="208"/>
      <c r="P23" s="208"/>
      <c r="Q23" s="208"/>
      <c r="R23" s="208"/>
      <c r="S23" s="208"/>
      <c r="T23" s="208"/>
      <c r="U23" s="208"/>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row>
    <row r="24" spans="1:55" s="192" customFormat="1" ht="12" customHeight="1">
      <c r="A24" s="570"/>
      <c r="B24" s="682" t="str">
        <f t="shared" si="10"/>
        <v>Counselor</v>
      </c>
      <c r="C24" s="635">
        <f t="shared" si="11"/>
        <v>2.0393954918032784</v>
      </c>
      <c r="D24" s="704">
        <f t="shared" si="12"/>
        <v>0.6797984972677594</v>
      </c>
      <c r="E24" s="704">
        <f t="shared" si="13"/>
        <v>0</v>
      </c>
      <c r="F24" s="704">
        <f t="shared" si="14"/>
        <v>0.6797984972677594</v>
      </c>
      <c r="G24" s="704">
        <f t="shared" si="14"/>
        <v>0</v>
      </c>
      <c r="H24" s="704">
        <f t="shared" si="15"/>
        <v>0.6797984972677594</v>
      </c>
      <c r="I24" s="704">
        <f t="shared" si="16"/>
        <v>0</v>
      </c>
      <c r="J24" s="704">
        <f t="shared" si="17"/>
        <v>0.6797984972677594</v>
      </c>
      <c r="K24" s="704">
        <f t="shared" si="18"/>
        <v>0</v>
      </c>
      <c r="L24" s="704">
        <f t="shared" si="19"/>
        <v>0.6797984972677594</v>
      </c>
      <c r="M24" s="704">
        <f t="shared" si="20"/>
        <v>0</v>
      </c>
      <c r="N24" s="208"/>
      <c r="O24" s="208"/>
      <c r="P24" s="208"/>
      <c r="Q24" s="208"/>
      <c r="R24" s="208"/>
      <c r="S24" s="208"/>
      <c r="T24" s="208"/>
      <c r="U24" s="208"/>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row>
    <row r="25" spans="2:55" ht="12.75">
      <c r="B25" s="682" t="str">
        <f t="shared" si="10"/>
        <v>Surgical nurse</v>
      </c>
      <c r="C25" s="635">
        <f t="shared" si="11"/>
        <v>7.5635331284153</v>
      </c>
      <c r="D25" s="704">
        <f t="shared" si="12"/>
        <v>4.159943220628415</v>
      </c>
      <c r="E25" s="704">
        <f t="shared" si="13"/>
        <v>3.1514721368397085</v>
      </c>
      <c r="F25" s="704">
        <f t="shared" si="14"/>
        <v>5.4205320753642985</v>
      </c>
      <c r="G25" s="704">
        <f t="shared" si="14"/>
        <v>4.412060991575592</v>
      </c>
      <c r="H25" s="704">
        <f t="shared" si="15"/>
        <v>6.681120930100182</v>
      </c>
      <c r="I25" s="704">
        <f t="shared" si="16"/>
        <v>5.672649846311475</v>
      </c>
      <c r="J25" s="704">
        <f t="shared" si="17"/>
        <v>4.159943220628415</v>
      </c>
      <c r="K25" s="704">
        <f t="shared" si="18"/>
        <v>3.1514721368397085</v>
      </c>
      <c r="L25" s="704">
        <f t="shared" si="19"/>
        <v>4.159943220628415</v>
      </c>
      <c r="M25" s="704">
        <f t="shared" si="20"/>
        <v>3.1514721368397085</v>
      </c>
      <c r="N25" s="208"/>
      <c r="O25" s="208"/>
      <c r="P25" s="208"/>
      <c r="Q25" s="208"/>
      <c r="R25" s="208"/>
      <c r="S25" s="208"/>
      <c r="T25" s="208"/>
      <c r="U25" s="208"/>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row>
    <row r="26" spans="2:55" ht="12" customHeight="1">
      <c r="B26" s="682" t="str">
        <f t="shared" si="10"/>
        <v>Nurse anaesthetist</v>
      </c>
      <c r="C26" s="635">
        <f t="shared" si="11"/>
        <v>7.5635331284153</v>
      </c>
      <c r="D26" s="704">
        <f t="shared" si="12"/>
        <v>2.5211777094717664</v>
      </c>
      <c r="E26" s="704">
        <f t="shared" si="13"/>
        <v>2.5211777094717664</v>
      </c>
      <c r="F26" s="704">
        <f t="shared" si="14"/>
        <v>3.78176656420765</v>
      </c>
      <c r="G26" s="704">
        <f t="shared" si="14"/>
        <v>3.78176656420765</v>
      </c>
      <c r="H26" s="704">
        <f t="shared" si="15"/>
        <v>2.5211777094717664</v>
      </c>
      <c r="I26" s="704">
        <f t="shared" si="16"/>
        <v>2.5211777094717664</v>
      </c>
      <c r="J26" s="704">
        <f t="shared" si="17"/>
        <v>2.5211777094717664</v>
      </c>
      <c r="K26" s="704">
        <f t="shared" si="18"/>
        <v>2.5211777094717664</v>
      </c>
      <c r="L26" s="704">
        <f t="shared" si="19"/>
        <v>2.5211777094717664</v>
      </c>
      <c r="M26" s="704">
        <f t="shared" si="20"/>
        <v>2.5211777094717664</v>
      </c>
      <c r="N26" s="208"/>
      <c r="O26" s="208"/>
      <c r="P26" s="208"/>
      <c r="Q26" s="208"/>
      <c r="R26" s="208"/>
      <c r="S26" s="208"/>
      <c r="T26" s="208"/>
      <c r="U26" s="208"/>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row>
    <row r="27" spans="2:55" ht="12" customHeight="1">
      <c r="B27" s="682" t="str">
        <f t="shared" si="10"/>
        <v>Nurse assistant</v>
      </c>
      <c r="C27" s="635">
        <f t="shared" si="11"/>
        <v>2.0393954918032784</v>
      </c>
      <c r="D27" s="704">
        <f t="shared" si="12"/>
        <v>1.393586919398907</v>
      </c>
      <c r="E27" s="704">
        <f t="shared" si="13"/>
        <v>1.1216675204918032</v>
      </c>
      <c r="F27" s="704">
        <f t="shared" si="14"/>
        <v>1.393586919398907</v>
      </c>
      <c r="G27" s="704">
        <f t="shared" si="14"/>
        <v>1.1216675204918032</v>
      </c>
      <c r="H27" s="704">
        <f t="shared" si="15"/>
        <v>1.393586919398907</v>
      </c>
      <c r="I27" s="704">
        <f t="shared" si="16"/>
        <v>1.1216675204918032</v>
      </c>
      <c r="J27" s="704">
        <f t="shared" si="17"/>
        <v>1.393586919398907</v>
      </c>
      <c r="K27" s="704">
        <f t="shared" si="18"/>
        <v>1.1216675204918032</v>
      </c>
      <c r="L27" s="704">
        <f t="shared" si="19"/>
        <v>1.393586919398907</v>
      </c>
      <c r="M27" s="704">
        <f t="shared" si="20"/>
        <v>1.1216675204918032</v>
      </c>
      <c r="N27" s="208"/>
      <c r="O27" s="208"/>
      <c r="P27" s="208"/>
      <c r="Q27" s="208"/>
      <c r="R27" s="208"/>
      <c r="S27" s="208"/>
      <c r="T27" s="208"/>
      <c r="U27" s="208"/>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row>
    <row r="28" spans="2:55" ht="12.75">
      <c r="B28" s="682" t="str">
        <f t="shared" si="10"/>
        <v>Auxiliary/Attendant</v>
      </c>
      <c r="C28" s="635">
        <f t="shared" si="11"/>
        <v>2.0393954918032784</v>
      </c>
      <c r="D28" s="704">
        <f t="shared" si="12"/>
        <v>0</v>
      </c>
      <c r="E28" s="704">
        <f t="shared" si="13"/>
        <v>0</v>
      </c>
      <c r="F28" s="704">
        <f t="shared" si="14"/>
        <v>0.16994962431693986</v>
      </c>
      <c r="G28" s="704">
        <f t="shared" si="14"/>
        <v>0.16994962431693986</v>
      </c>
      <c r="H28" s="704">
        <f t="shared" si="15"/>
        <v>0</v>
      </c>
      <c r="I28" s="704">
        <f t="shared" si="16"/>
        <v>0</v>
      </c>
      <c r="J28" s="704">
        <f t="shared" si="17"/>
        <v>0</v>
      </c>
      <c r="K28" s="704">
        <f t="shared" si="18"/>
        <v>0</v>
      </c>
      <c r="L28" s="704">
        <f t="shared" si="19"/>
        <v>0</v>
      </c>
      <c r="M28" s="704">
        <f t="shared" si="20"/>
        <v>0</v>
      </c>
      <c r="N28" s="209"/>
      <c r="O28" s="209"/>
      <c r="P28" s="209"/>
      <c r="Q28" s="209"/>
      <c r="R28" s="209"/>
      <c r="S28" s="209"/>
      <c r="T28" s="209"/>
      <c r="U28" s="209"/>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570"/>
      <c r="BA28" s="570"/>
      <c r="BB28" s="570"/>
      <c r="BC28" s="570"/>
    </row>
    <row r="29" spans="2:55" ht="12.75">
      <c r="B29" s="682" t="str">
        <f t="shared" si="10"/>
        <v>Anaesthetist</v>
      </c>
      <c r="C29" s="635">
        <f t="shared" si="11"/>
        <v>9.222737363387978</v>
      </c>
      <c r="D29" s="704">
        <f t="shared" si="12"/>
        <v>0</v>
      </c>
      <c r="E29" s="704">
        <f t="shared" si="13"/>
        <v>0</v>
      </c>
      <c r="F29" s="704">
        <f t="shared" si="14"/>
        <v>0</v>
      </c>
      <c r="G29" s="704">
        <f t="shared" si="14"/>
        <v>0</v>
      </c>
      <c r="H29" s="704">
        <f t="shared" si="15"/>
        <v>0</v>
      </c>
      <c r="I29" s="704">
        <f t="shared" si="16"/>
        <v>0</v>
      </c>
      <c r="J29" s="704">
        <f t="shared" si="17"/>
        <v>0</v>
      </c>
      <c r="K29" s="704">
        <f t="shared" si="18"/>
        <v>0</v>
      </c>
      <c r="L29" s="704">
        <f t="shared" si="19"/>
        <v>0</v>
      </c>
      <c r="M29" s="704">
        <f t="shared" si="20"/>
        <v>0</v>
      </c>
      <c r="N29" s="209"/>
      <c r="O29" s="209"/>
      <c r="P29" s="209"/>
      <c r="Q29" s="209"/>
      <c r="R29" s="209"/>
      <c r="S29" s="209"/>
      <c r="T29" s="209"/>
      <c r="U29" s="209"/>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row>
    <row r="30" spans="2:55" ht="12.75">
      <c r="B30" s="682" t="str">
        <f t="shared" si="10"/>
        <v>Physician</v>
      </c>
      <c r="C30" s="635">
        <f t="shared" si="11"/>
        <v>9.222737363387978</v>
      </c>
      <c r="D30" s="704">
        <f t="shared" si="12"/>
        <v>5.841066996812386</v>
      </c>
      <c r="E30" s="704">
        <f t="shared" si="13"/>
        <v>5.072505549863388</v>
      </c>
      <c r="F30" s="704">
        <f t="shared" si="14"/>
        <v>7.378189890710383</v>
      </c>
      <c r="G30" s="704">
        <f t="shared" si="14"/>
        <v>6.609628443761384</v>
      </c>
      <c r="H30" s="704">
        <f t="shared" si="15"/>
        <v>5.841066996812386</v>
      </c>
      <c r="I30" s="704">
        <f t="shared" si="16"/>
        <v>5.072505549863388</v>
      </c>
      <c r="J30" s="704">
        <f t="shared" si="17"/>
        <v>5.841066996812386</v>
      </c>
      <c r="K30" s="704">
        <f t="shared" si="18"/>
        <v>5.072505549863388</v>
      </c>
      <c r="L30" s="704">
        <f t="shared" si="19"/>
        <v>5.841066996812386</v>
      </c>
      <c r="M30" s="704">
        <f t="shared" si="20"/>
        <v>5.072505549863388</v>
      </c>
      <c r="N30" s="209"/>
      <c r="O30" s="209"/>
      <c r="P30" s="209"/>
      <c r="Q30" s="209"/>
      <c r="R30" s="209"/>
      <c r="S30" s="209"/>
      <c r="T30" s="209"/>
      <c r="U30" s="209"/>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row>
    <row r="31" spans="2:55" ht="12.75">
      <c r="B31" s="682" t="str">
        <f t="shared" si="10"/>
        <v>Lab technician</v>
      </c>
      <c r="C31" s="635">
        <f t="shared" si="11"/>
        <v>7.563760416666668</v>
      </c>
      <c r="D31" s="704">
        <f t="shared" si="12"/>
        <v>1.2606267361111112</v>
      </c>
      <c r="E31" s="704">
        <f t="shared" si="13"/>
        <v>0</v>
      </c>
      <c r="F31" s="704">
        <f t="shared" si="14"/>
        <v>1.2606267361111112</v>
      </c>
      <c r="G31" s="704">
        <f t="shared" si="14"/>
        <v>0</v>
      </c>
      <c r="H31" s="704">
        <f t="shared" si="15"/>
        <v>1.2606267361111112</v>
      </c>
      <c r="I31" s="704">
        <f t="shared" si="16"/>
        <v>0</v>
      </c>
      <c r="J31" s="704">
        <f t="shared" si="17"/>
        <v>1.2606267361111112</v>
      </c>
      <c r="K31" s="704">
        <f t="shared" si="18"/>
        <v>0</v>
      </c>
      <c r="L31" s="704">
        <f t="shared" si="19"/>
        <v>1.2606267361111112</v>
      </c>
      <c r="M31" s="704">
        <f t="shared" si="20"/>
        <v>0</v>
      </c>
      <c r="N31" s="209"/>
      <c r="O31" s="209"/>
      <c r="P31" s="209"/>
      <c r="Q31" s="209"/>
      <c r="R31" s="209"/>
      <c r="S31" s="209"/>
      <c r="T31" s="209"/>
      <c r="U31" s="209"/>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row>
    <row r="32" spans="2:55" ht="12.75">
      <c r="B32" s="682" t="str">
        <f t="shared" si="10"/>
        <v>Other 1</v>
      </c>
      <c r="C32" s="635">
        <f t="shared" si="11"/>
        <v>0</v>
      </c>
      <c r="D32" s="704">
        <f t="shared" si="12"/>
        <v>0</v>
      </c>
      <c r="E32" s="704">
        <f t="shared" si="13"/>
        <v>0</v>
      </c>
      <c r="F32" s="704">
        <f t="shared" si="14"/>
        <v>0</v>
      </c>
      <c r="G32" s="704">
        <f t="shared" si="14"/>
        <v>0</v>
      </c>
      <c r="H32" s="704">
        <f t="shared" si="15"/>
        <v>0</v>
      </c>
      <c r="I32" s="704">
        <f t="shared" si="16"/>
        <v>0</v>
      </c>
      <c r="J32" s="704">
        <f t="shared" si="17"/>
        <v>0</v>
      </c>
      <c r="K32" s="704">
        <f t="shared" si="18"/>
        <v>0</v>
      </c>
      <c r="L32" s="704">
        <f t="shared" si="19"/>
        <v>0</v>
      </c>
      <c r="M32" s="704">
        <f t="shared" si="20"/>
        <v>0</v>
      </c>
      <c r="N32" s="209"/>
      <c r="O32" s="209"/>
      <c r="P32" s="209"/>
      <c r="Q32" s="209"/>
      <c r="R32" s="209"/>
      <c r="S32" s="209"/>
      <c r="T32" s="209"/>
      <c r="U32" s="209"/>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row>
    <row r="33" spans="2:55" ht="12.75">
      <c r="B33" s="579"/>
      <c r="C33" s="588"/>
      <c r="D33" s="705">
        <f>SUM(D23:D32)</f>
        <v>15.856200079690344</v>
      </c>
      <c r="E33" s="705">
        <f>SUM(E23:E32)</f>
        <v>11.866822916666667</v>
      </c>
      <c r="F33" s="705">
        <f>SUM(F23:F32)</f>
        <v>20.084450307377047</v>
      </c>
      <c r="G33" s="705">
        <f>SUM(G23:G32)</f>
        <v>16.09507314435337</v>
      </c>
      <c r="H33" s="705">
        <f aca="true" t="shared" si="21" ref="H33:M33">SUM(H23:H32)</f>
        <v>18.37737778916211</v>
      </c>
      <c r="I33" s="705">
        <f t="shared" si="21"/>
        <v>14.388000626138432</v>
      </c>
      <c r="J33" s="705">
        <f t="shared" si="21"/>
        <v>15.856200079690344</v>
      </c>
      <c r="K33" s="705">
        <f t="shared" si="21"/>
        <v>11.866822916666667</v>
      </c>
      <c r="L33" s="705">
        <f t="shared" si="21"/>
        <v>15.856200079690344</v>
      </c>
      <c r="M33" s="705">
        <f t="shared" si="21"/>
        <v>11.866822916666667</v>
      </c>
      <c r="N33" s="209"/>
      <c r="O33" s="209"/>
      <c r="P33" s="209"/>
      <c r="Q33" s="209"/>
      <c r="R33" s="209"/>
      <c r="S33" s="209"/>
      <c r="T33" s="209"/>
      <c r="U33" s="209"/>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row>
    <row r="34" spans="4:55" ht="12.75">
      <c r="D34" s="336"/>
      <c r="E34" s="336"/>
      <c r="F34" s="336"/>
      <c r="G34" s="336"/>
      <c r="H34" s="336"/>
      <c r="I34" s="336"/>
      <c r="J34" s="209"/>
      <c r="K34" s="209"/>
      <c r="L34" s="209"/>
      <c r="M34" s="209"/>
      <c r="N34" s="209"/>
      <c r="O34" s="209"/>
      <c r="P34" s="209"/>
      <c r="Q34" s="209"/>
      <c r="R34" s="209"/>
      <c r="S34" s="209"/>
      <c r="T34" s="209"/>
      <c r="U34" s="209"/>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row>
    <row r="35" spans="10:55" ht="12.75">
      <c r="J35" s="209"/>
      <c r="K35" s="209"/>
      <c r="L35" s="209"/>
      <c r="M35" s="209"/>
      <c r="N35" s="209"/>
      <c r="O35" s="209"/>
      <c r="P35" s="209"/>
      <c r="Q35" s="209"/>
      <c r="R35" s="209"/>
      <c r="S35" s="209"/>
      <c r="T35" s="209"/>
      <c r="U35" s="209"/>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row>
    <row r="36" spans="2:21" ht="15.75">
      <c r="B36" s="36" t="s">
        <v>82</v>
      </c>
      <c r="C36" s="216"/>
      <c r="D36" s="37"/>
      <c r="E36" s="37"/>
      <c r="F36" s="188"/>
      <c r="G36" s="188"/>
      <c r="H36" s="188"/>
      <c r="I36" s="188"/>
      <c r="J36" s="586"/>
      <c r="K36" s="586"/>
      <c r="L36" s="586"/>
      <c r="M36" s="586"/>
      <c r="N36" s="586"/>
      <c r="O36" s="586"/>
      <c r="P36" s="586"/>
      <c r="Q36" s="586"/>
      <c r="R36" s="586"/>
      <c r="S36" s="586"/>
      <c r="T36" s="586"/>
      <c r="U36" s="586"/>
    </row>
    <row r="37" spans="2:21" ht="15.7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43"/>
      <c r="B38" s="219" t="s">
        <v>83</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0" t="s">
        <v>184</v>
      </c>
      <c r="C39" s="580">
        <f>'Country Information'!C54</f>
        <v>260.06</v>
      </c>
      <c r="D39" s="580">
        <f>'Country Information'!D54</f>
        <v>260.06</v>
      </c>
      <c r="E39" s="580"/>
      <c r="F39" s="580">
        <f>'Country Information'!E54</f>
        <v>270</v>
      </c>
      <c r="G39" s="580">
        <f>'Country Information'!F54</f>
        <v>5.75</v>
      </c>
      <c r="H39" s="580">
        <f>'Country Information'!G54</f>
        <v>16.41</v>
      </c>
      <c r="I39" s="580">
        <f>'Country Information'!H54</f>
        <v>0</v>
      </c>
      <c r="J39" s="580">
        <f>'Country Information'!I54</f>
        <v>0</v>
      </c>
      <c r="K39" s="223"/>
    </row>
    <row r="40" spans="2:11" ht="12.75">
      <c r="B40" s="223"/>
      <c r="C40" s="223"/>
      <c r="D40" s="223"/>
      <c r="E40" s="223"/>
      <c r="F40" s="223"/>
      <c r="G40" s="223"/>
      <c r="H40" s="223"/>
      <c r="I40" s="223"/>
      <c r="J40" s="209"/>
      <c r="K40" s="209"/>
    </row>
    <row r="41" spans="1:21" s="192" customFormat="1" ht="12.75">
      <c r="A41" s="570"/>
      <c r="B41" s="41"/>
      <c r="C41" s="41"/>
      <c r="D41" s="41"/>
      <c r="E41" s="41"/>
      <c r="F41" s="41"/>
      <c r="G41" s="41"/>
      <c r="H41" s="41"/>
      <c r="I41" s="41"/>
      <c r="J41" s="209"/>
      <c r="K41" s="209"/>
      <c r="L41" s="41"/>
      <c r="M41" s="41"/>
      <c r="N41" s="41"/>
      <c r="O41" s="41"/>
      <c r="P41" s="41"/>
      <c r="Q41" s="41"/>
      <c r="R41" s="41"/>
      <c r="S41" s="41"/>
      <c r="T41" s="41"/>
      <c r="U41" s="41"/>
    </row>
    <row r="42" spans="1:21" s="226" customFormat="1" ht="33.75">
      <c r="A42" s="644"/>
      <c r="B42" s="219" t="s">
        <v>84</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162</v>
      </c>
      <c r="M42" s="193"/>
      <c r="N42" s="193" t="s">
        <v>278</v>
      </c>
      <c r="O42" s="258"/>
      <c r="P42" s="225"/>
      <c r="Q42" s="225"/>
      <c r="R42" s="225"/>
      <c r="S42" s="225"/>
      <c r="T42" s="225"/>
      <c r="U42" s="225"/>
    </row>
    <row r="43" spans="2:21" ht="12.75">
      <c r="B43" s="195"/>
      <c r="C43" s="257"/>
      <c r="D43" s="573"/>
      <c r="E43" s="573"/>
      <c r="F43" s="573"/>
      <c r="G43" s="573"/>
      <c r="H43" s="573"/>
      <c r="I43" s="573"/>
      <c r="J43" s="573"/>
      <c r="K43" s="573"/>
      <c r="L43" s="574"/>
      <c r="M43" s="574"/>
      <c r="N43" s="583"/>
      <c r="O43" s="209"/>
      <c r="P43" s="208"/>
      <c r="Q43" s="208"/>
      <c r="R43" s="208"/>
      <c r="S43" s="208"/>
      <c r="T43" s="208"/>
      <c r="U43" s="208"/>
    </row>
    <row r="44" spans="2:15" ht="12.75">
      <c r="B44" s="196" t="s">
        <v>244</v>
      </c>
      <c r="C44" s="575"/>
      <c r="D44" s="576"/>
      <c r="E44" s="576"/>
      <c r="F44" s="576"/>
      <c r="G44" s="576"/>
      <c r="H44" s="576"/>
      <c r="I44" s="576"/>
      <c r="J44" s="576"/>
      <c r="K44" s="576"/>
      <c r="L44" s="577"/>
      <c r="M44" s="577"/>
      <c r="N44" s="584"/>
      <c r="O44" s="209"/>
    </row>
    <row r="45" spans="2:15" ht="12.75">
      <c r="B45" s="581" t="str">
        <f>B8</f>
        <v>OPD nurse</v>
      </c>
      <c r="C45" s="582">
        <f aca="true" t="shared" si="22" ref="C45:J46">(C8*C$39)/60</f>
        <v>0</v>
      </c>
      <c r="D45" s="582">
        <f t="shared" si="22"/>
        <v>0</v>
      </c>
      <c r="E45" s="582">
        <f>(E8*E$39)/60</f>
        <v>0</v>
      </c>
      <c r="F45" s="582">
        <f t="shared" si="22"/>
        <v>0</v>
      </c>
      <c r="G45" s="582">
        <f t="shared" si="22"/>
        <v>0</v>
      </c>
      <c r="H45" s="582">
        <f t="shared" si="22"/>
        <v>0</v>
      </c>
      <c r="I45" s="582">
        <f t="shared" si="22"/>
        <v>0</v>
      </c>
      <c r="J45" s="582">
        <f t="shared" si="22"/>
        <v>0</v>
      </c>
      <c r="K45" s="582"/>
      <c r="L45" s="572">
        <f aca="true" t="shared" si="23" ref="L45:L53">SUM(C45:K45)</f>
        <v>0</v>
      </c>
      <c r="M45" s="572"/>
      <c r="N45" s="582">
        <f>ROUNDUP(L45/2080,0)</f>
        <v>0</v>
      </c>
      <c r="O45" s="365"/>
    </row>
    <row r="46" spans="2:15" ht="12.75">
      <c r="B46" s="581" t="str">
        <f>B9</f>
        <v>Counselor</v>
      </c>
      <c r="C46" s="582">
        <f t="shared" si="22"/>
        <v>86.68666666666667</v>
      </c>
      <c r="D46" s="582">
        <f t="shared" si="22"/>
        <v>0</v>
      </c>
      <c r="E46" s="582">
        <f>(E9*E$39)/60</f>
        <v>0</v>
      </c>
      <c r="F46" s="582">
        <f t="shared" si="22"/>
        <v>0</v>
      </c>
      <c r="G46" s="582">
        <f t="shared" si="22"/>
        <v>0</v>
      </c>
      <c r="H46" s="582">
        <f t="shared" si="22"/>
        <v>0</v>
      </c>
      <c r="I46" s="582">
        <f t="shared" si="22"/>
        <v>0</v>
      </c>
      <c r="J46" s="582">
        <f t="shared" si="22"/>
        <v>0</v>
      </c>
      <c r="K46" s="582"/>
      <c r="L46" s="572">
        <f t="shared" si="23"/>
        <v>86.68666666666667</v>
      </c>
      <c r="M46" s="572"/>
      <c r="N46" s="582">
        <f>ROUNDUP(L46/2080,0)</f>
        <v>1</v>
      </c>
      <c r="O46" s="365"/>
    </row>
    <row r="47" spans="2:15" ht="12.75">
      <c r="B47" s="581" t="str">
        <f>B10</f>
        <v>Surgical nurse</v>
      </c>
      <c r="C47" s="582">
        <f aca="true" t="shared" si="24" ref="C47:J48">(C10*C$39)/60</f>
        <v>34.67466666666667</v>
      </c>
      <c r="D47" s="582">
        <f t="shared" si="24"/>
        <v>108.35833333333333</v>
      </c>
      <c r="E47" s="582">
        <f>(E10*E$39)/60</f>
        <v>0</v>
      </c>
      <c r="F47" s="582">
        <f t="shared" si="24"/>
        <v>0</v>
      </c>
      <c r="G47" s="582">
        <f t="shared" si="24"/>
        <v>0.9583333333333334</v>
      </c>
      <c r="H47" s="582">
        <f t="shared" si="24"/>
        <v>5.47</v>
      </c>
      <c r="I47" s="582">
        <f t="shared" si="24"/>
        <v>0</v>
      </c>
      <c r="J47" s="582">
        <f t="shared" si="24"/>
        <v>0</v>
      </c>
      <c r="K47" s="582"/>
      <c r="L47" s="572">
        <f t="shared" si="23"/>
        <v>149.46133333333336</v>
      </c>
      <c r="M47" s="572"/>
      <c r="N47" s="582">
        <f aca="true" t="shared" si="25" ref="N47:N53">ROUNDUP(L47/2080,0)</f>
        <v>1</v>
      </c>
      <c r="O47" s="365"/>
    </row>
    <row r="48" spans="2:21" ht="12.75">
      <c r="B48" s="581" t="str">
        <f>B11</f>
        <v>Nurse anaesthetist</v>
      </c>
      <c r="C48" s="582">
        <f t="shared" si="24"/>
        <v>0</v>
      </c>
      <c r="D48" s="582">
        <f t="shared" si="24"/>
        <v>86.68666666666667</v>
      </c>
      <c r="E48" s="582">
        <f>(E11*E$39)/60</f>
        <v>0</v>
      </c>
      <c r="F48" s="582">
        <f t="shared" si="24"/>
        <v>0</v>
      </c>
      <c r="G48" s="582">
        <f t="shared" si="24"/>
        <v>0.9583333333333334</v>
      </c>
      <c r="H48" s="582">
        <f t="shared" si="24"/>
        <v>0</v>
      </c>
      <c r="I48" s="582">
        <f t="shared" si="24"/>
        <v>0</v>
      </c>
      <c r="J48" s="582">
        <f t="shared" si="24"/>
        <v>0</v>
      </c>
      <c r="K48" s="582"/>
      <c r="L48" s="572">
        <f t="shared" si="23"/>
        <v>87.645</v>
      </c>
      <c r="M48" s="572"/>
      <c r="N48" s="582">
        <f t="shared" si="25"/>
        <v>1</v>
      </c>
      <c r="O48" s="365"/>
      <c r="P48" s="35"/>
      <c r="Q48" s="35"/>
      <c r="R48" s="35"/>
      <c r="S48" s="35"/>
      <c r="T48" s="35"/>
      <c r="U48" s="35"/>
    </row>
    <row r="49" spans="1:21" s="224" customFormat="1" ht="12.75">
      <c r="A49" s="645"/>
      <c r="B49" s="581" t="str">
        <f>B13</f>
        <v>Auxiliary/Attendant</v>
      </c>
      <c r="C49" s="582">
        <f aca="true" t="shared" si="26" ref="C49:J53">(C13*C$39)/60</f>
        <v>0</v>
      </c>
      <c r="D49" s="582">
        <f t="shared" si="26"/>
        <v>0</v>
      </c>
      <c r="E49" s="582">
        <f>(E13*E$39)/60</f>
        <v>0</v>
      </c>
      <c r="F49" s="582">
        <f t="shared" si="26"/>
        <v>0</v>
      </c>
      <c r="G49" s="582">
        <f t="shared" si="26"/>
        <v>0.4791666666666667</v>
      </c>
      <c r="H49" s="582">
        <f t="shared" si="26"/>
        <v>0</v>
      </c>
      <c r="I49" s="582">
        <f t="shared" si="26"/>
        <v>0</v>
      </c>
      <c r="J49" s="582">
        <f t="shared" si="26"/>
        <v>0</v>
      </c>
      <c r="K49" s="582"/>
      <c r="L49" s="572">
        <f t="shared" si="23"/>
        <v>0.4791666666666667</v>
      </c>
      <c r="M49" s="572"/>
      <c r="N49" s="582">
        <f t="shared" si="25"/>
        <v>1</v>
      </c>
      <c r="O49" s="365"/>
      <c r="P49" s="41"/>
      <c r="Q49" s="41"/>
      <c r="R49" s="41"/>
      <c r="S49" s="41"/>
      <c r="T49" s="41"/>
      <c r="U49" s="41"/>
    </row>
    <row r="50" spans="2:21" ht="12.75">
      <c r="B50" s="581" t="str">
        <f>B14</f>
        <v>Anaesthetist</v>
      </c>
      <c r="C50" s="582">
        <f t="shared" si="26"/>
        <v>0</v>
      </c>
      <c r="D50" s="582">
        <f t="shared" si="26"/>
        <v>0</v>
      </c>
      <c r="E50" s="582">
        <f>(E14*E$39)/60</f>
        <v>0</v>
      </c>
      <c r="F50" s="582">
        <f t="shared" si="26"/>
        <v>0</v>
      </c>
      <c r="G50" s="582">
        <f t="shared" si="26"/>
        <v>0</v>
      </c>
      <c r="H50" s="582">
        <f t="shared" si="26"/>
        <v>0</v>
      </c>
      <c r="I50" s="582">
        <f t="shared" si="26"/>
        <v>0</v>
      </c>
      <c r="J50" s="582">
        <f t="shared" si="26"/>
        <v>0</v>
      </c>
      <c r="K50" s="582"/>
      <c r="L50" s="572">
        <f t="shared" si="23"/>
        <v>0</v>
      </c>
      <c r="M50" s="572"/>
      <c r="N50" s="582">
        <f t="shared" si="25"/>
        <v>0</v>
      </c>
      <c r="O50" s="365"/>
      <c r="P50" s="208"/>
      <c r="Q50" s="208"/>
      <c r="R50" s="208"/>
      <c r="S50" s="208"/>
      <c r="T50" s="208"/>
      <c r="U50" s="208"/>
    </row>
    <row r="51" spans="2:21" ht="12.75">
      <c r="B51" s="581" t="str">
        <f>B15</f>
        <v>Physician</v>
      </c>
      <c r="C51" s="582">
        <f t="shared" si="26"/>
        <v>21.671666666666667</v>
      </c>
      <c r="D51" s="582">
        <f t="shared" si="26"/>
        <v>108.35833333333333</v>
      </c>
      <c r="E51" s="582">
        <f>(E15*E$39)/60</f>
        <v>0</v>
      </c>
      <c r="F51" s="582">
        <f t="shared" si="26"/>
        <v>36</v>
      </c>
      <c r="G51" s="582">
        <f t="shared" si="26"/>
        <v>0.9583333333333334</v>
      </c>
      <c r="H51" s="582">
        <f t="shared" si="26"/>
        <v>0</v>
      </c>
      <c r="I51" s="582">
        <f t="shared" si="26"/>
        <v>0</v>
      </c>
      <c r="J51" s="582">
        <f t="shared" si="26"/>
        <v>0</v>
      </c>
      <c r="K51" s="582"/>
      <c r="L51" s="572">
        <f t="shared" si="23"/>
        <v>166.98833333333334</v>
      </c>
      <c r="M51" s="572"/>
      <c r="N51" s="582">
        <f t="shared" si="25"/>
        <v>1</v>
      </c>
      <c r="O51" s="365"/>
      <c r="P51" s="208"/>
      <c r="Q51" s="208"/>
      <c r="R51" s="208"/>
      <c r="S51" s="208"/>
      <c r="T51" s="208"/>
      <c r="U51" s="208"/>
    </row>
    <row r="52" spans="2:21" ht="12.75">
      <c r="B52" s="581" t="str">
        <f>B16</f>
        <v>Lab technician</v>
      </c>
      <c r="C52" s="582">
        <f t="shared" si="26"/>
        <v>43.343333333333334</v>
      </c>
      <c r="D52" s="582">
        <f t="shared" si="26"/>
        <v>0</v>
      </c>
      <c r="E52" s="582">
        <f>(E16*E$39)/60</f>
        <v>0</v>
      </c>
      <c r="F52" s="582">
        <f t="shared" si="26"/>
        <v>0</v>
      </c>
      <c r="G52" s="582">
        <f t="shared" si="26"/>
        <v>0</v>
      </c>
      <c r="H52" s="582">
        <f t="shared" si="26"/>
        <v>0</v>
      </c>
      <c r="I52" s="582">
        <f t="shared" si="26"/>
        <v>0</v>
      </c>
      <c r="J52" s="582">
        <f t="shared" si="26"/>
        <v>0</v>
      </c>
      <c r="K52" s="582"/>
      <c r="L52" s="572">
        <f t="shared" si="23"/>
        <v>43.343333333333334</v>
      </c>
      <c r="M52" s="572"/>
      <c r="N52" s="582">
        <f t="shared" si="25"/>
        <v>1</v>
      </c>
      <c r="O52" s="365"/>
      <c r="P52" s="208"/>
      <c r="Q52" s="208"/>
      <c r="R52" s="208"/>
      <c r="S52" s="208"/>
      <c r="T52" s="208"/>
      <c r="U52" s="208"/>
    </row>
    <row r="53" spans="2:21" ht="12.75">
      <c r="B53" s="581" t="str">
        <f>B17</f>
        <v>Other 1</v>
      </c>
      <c r="C53" s="582">
        <f t="shared" si="26"/>
        <v>0</v>
      </c>
      <c r="D53" s="582">
        <f t="shared" si="26"/>
        <v>0</v>
      </c>
      <c r="E53" s="582">
        <f>(E17*E$39)/60</f>
        <v>0</v>
      </c>
      <c r="F53" s="582">
        <f t="shared" si="26"/>
        <v>0</v>
      </c>
      <c r="G53" s="582">
        <f t="shared" si="26"/>
        <v>0</v>
      </c>
      <c r="H53" s="582">
        <f t="shared" si="26"/>
        <v>0</v>
      </c>
      <c r="I53" s="582">
        <f t="shared" si="26"/>
        <v>0</v>
      </c>
      <c r="J53" s="582">
        <f t="shared" si="26"/>
        <v>0</v>
      </c>
      <c r="K53" s="582"/>
      <c r="L53" s="572">
        <f t="shared" si="23"/>
        <v>0</v>
      </c>
      <c r="M53" s="572"/>
      <c r="N53" s="572">
        <f t="shared" si="25"/>
        <v>0</v>
      </c>
      <c r="O53" s="256"/>
      <c r="P53" s="208"/>
      <c r="Q53" s="208"/>
      <c r="R53" s="208"/>
      <c r="S53" s="208"/>
      <c r="T53" s="208"/>
      <c r="U53" s="208"/>
    </row>
    <row r="54" spans="2:11" ht="12.75" hidden="1">
      <c r="B54" s="196" t="s">
        <v>76</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46"/>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46"/>
      <c r="B64" s="231" t="s">
        <v>76</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26.885449260018213</v>
      </c>
      <c r="D67" s="48" t="e">
        <f t="shared" si="27"/>
        <v>#REF!</v>
      </c>
      <c r="E67" s="48"/>
      <c r="F67" s="232" t="e">
        <f t="shared" si="28"/>
        <v>#REF!</v>
      </c>
      <c r="G67" s="233" t="e">
        <v>#REF!</v>
      </c>
    </row>
    <row r="68" spans="2:11" ht="12.75" hidden="1">
      <c r="B68" s="49" t="e">
        <f>#REF!</f>
        <v>#REF!</v>
      </c>
      <c r="C68" s="227">
        <f>(C25*C$39)/60</f>
        <v>32.78287375626139</v>
      </c>
      <c r="D68" s="48" t="e">
        <f t="shared" si="27"/>
        <v>#REF!</v>
      </c>
      <c r="E68" s="48"/>
      <c r="F68" s="232" t="e">
        <f t="shared" si="28"/>
        <v>#REF!</v>
      </c>
      <c r="G68" s="233" t="e">
        <v>#REF!</v>
      </c>
      <c r="J68" s="39"/>
      <c r="K68" s="39"/>
    </row>
    <row r="69" spans="2:7" ht="12.75" hidden="1">
      <c r="B69" s="49" t="e">
        <f>#REF!</f>
        <v>#REF!</v>
      </c>
      <c r="C69" s="227">
        <f>(C26*C$39)/60</f>
        <v>32.78287375626139</v>
      </c>
      <c r="D69" s="48" t="e">
        <f t="shared" si="27"/>
        <v>#REF!</v>
      </c>
      <c r="E69" s="48"/>
      <c r="F69" s="232" t="e">
        <f t="shared" si="28"/>
        <v>#REF!</v>
      </c>
      <c r="G69" s="233" t="e">
        <v>#REF!</v>
      </c>
    </row>
    <row r="70" spans="2:7" ht="12.75" hidden="1">
      <c r="B70" s="49" t="e">
        <f>#REF!</f>
        <v>#REF!</v>
      </c>
      <c r="C70" s="227">
        <f>(C28*C$39)/60</f>
        <v>8.839419859972677</v>
      </c>
      <c r="D70" s="48" t="e">
        <f t="shared" si="27"/>
        <v>#REF!</v>
      </c>
      <c r="E70" s="48"/>
      <c r="F70" s="232" t="e">
        <f t="shared" si="28"/>
        <v>#REF!</v>
      </c>
      <c r="G70" s="233" t="e">
        <v>#REF!</v>
      </c>
    </row>
    <row r="71" spans="2:7" ht="12.75" hidden="1">
      <c r="B71" s="49" t="e">
        <f>#REF!</f>
        <v>#REF!</v>
      </c>
      <c r="C71" s="227">
        <f>(C29*C$39)/60</f>
        <v>39.97441797871129</v>
      </c>
      <c r="D71" s="48" t="e">
        <f t="shared" si="27"/>
        <v>#REF!</v>
      </c>
      <c r="E71" s="48"/>
      <c r="F71" s="232" t="e">
        <f t="shared" si="28"/>
        <v>#REF!</v>
      </c>
      <c r="G71" s="233" t="e">
        <v>#REF!</v>
      </c>
    </row>
    <row r="72" spans="2:7" ht="12.75" hidden="1">
      <c r="B72" s="49"/>
      <c r="C72" s="227">
        <f>(C30*C$39)/60</f>
        <v>39.97441797871129</v>
      </c>
      <c r="D72" s="223"/>
      <c r="E72" s="223"/>
      <c r="F72" s="232"/>
      <c r="G72" s="233"/>
    </row>
    <row r="73" spans="2:14" ht="12.75">
      <c r="B73" s="47"/>
      <c r="C73" s="585"/>
      <c r="D73" s="223"/>
      <c r="E73" s="223"/>
      <c r="F73" s="232"/>
      <c r="G73" s="232"/>
      <c r="H73" s="209"/>
      <c r="I73" s="209"/>
      <c r="J73" s="209"/>
      <c r="K73" s="209"/>
      <c r="L73" s="209"/>
      <c r="M73" s="209"/>
      <c r="N73" s="209"/>
    </row>
    <row r="74" spans="2:14" ht="12.75">
      <c r="B74" s="47"/>
      <c r="C74" s="585"/>
      <c r="D74" s="223"/>
      <c r="E74" s="223"/>
      <c r="F74" s="232"/>
      <c r="G74" s="232"/>
      <c r="H74" s="209"/>
      <c r="I74" s="209"/>
      <c r="J74" s="209"/>
      <c r="K74" s="209"/>
      <c r="L74" s="209"/>
      <c r="M74" s="209"/>
      <c r="N74" s="209"/>
    </row>
    <row r="75" spans="2:14" ht="12.75">
      <c r="B75" s="47"/>
      <c r="C75" s="585"/>
      <c r="D75" s="223"/>
      <c r="E75" s="223"/>
      <c r="F75" s="232"/>
      <c r="G75" s="232"/>
      <c r="H75" s="209"/>
      <c r="I75" s="209"/>
      <c r="J75" s="209"/>
      <c r="K75" s="209"/>
      <c r="L75" s="209"/>
      <c r="M75" s="209"/>
      <c r="N75" s="209"/>
    </row>
    <row r="76" spans="2:14" ht="12.75">
      <c r="B76" s="47"/>
      <c r="C76" s="585"/>
      <c r="D76" s="223"/>
      <c r="E76" s="223"/>
      <c r="F76" s="232"/>
      <c r="G76" s="232"/>
      <c r="H76" s="209"/>
      <c r="I76" s="209"/>
      <c r="J76" s="209"/>
      <c r="K76" s="209"/>
      <c r="L76" s="209"/>
      <c r="M76" s="209"/>
      <c r="N76" s="209"/>
    </row>
    <row r="77" spans="2:14" ht="12.75">
      <c r="B77" s="198"/>
      <c r="C77" s="585"/>
      <c r="D77" s="223"/>
      <c r="E77" s="223"/>
      <c r="F77" s="232"/>
      <c r="G77" s="232"/>
      <c r="H77" s="209"/>
      <c r="I77" s="209"/>
      <c r="J77" s="209"/>
      <c r="K77" s="209"/>
      <c r="L77" s="209"/>
      <c r="M77" s="209"/>
      <c r="N77" s="209"/>
    </row>
    <row r="78" spans="2:14" ht="12.75">
      <c r="B78" s="198"/>
      <c r="C78" s="585"/>
      <c r="D78" s="223"/>
      <c r="E78" s="223"/>
      <c r="F78" s="232"/>
      <c r="G78" s="232"/>
      <c r="H78" s="209"/>
      <c r="I78" s="209"/>
      <c r="J78" s="209"/>
      <c r="K78" s="209"/>
      <c r="L78" s="209"/>
      <c r="M78" s="209"/>
      <c r="N78" s="209"/>
    </row>
    <row r="79" spans="2:14" ht="12.75">
      <c r="B79" s="198"/>
      <c r="C79" s="585"/>
      <c r="D79" s="223"/>
      <c r="E79" s="223"/>
      <c r="F79" s="232"/>
      <c r="G79" s="232"/>
      <c r="H79" s="209"/>
      <c r="I79" s="209"/>
      <c r="J79" s="209"/>
      <c r="K79" s="209"/>
      <c r="L79" s="209"/>
      <c r="M79" s="209"/>
      <c r="N79" s="209"/>
    </row>
    <row r="88" spans="1:11" s="39" customFormat="1" ht="12.75">
      <c r="A88" s="646"/>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Other 1</v>
      </c>
    </row>
    <row r="121" ht="12.75">
      <c r="B121" s="41" t="str">
        <f>'Cost Inputs - Personnel'!B28</f>
        <v>Other 2</v>
      </c>
    </row>
    <row r="122" ht="12.75">
      <c r="B122" s="41" t="str">
        <f>'Cost Inputs - Personnel'!B29</f>
        <v>Other 3</v>
      </c>
    </row>
    <row r="123" ht="12.75">
      <c r="B123" s="41" t="str">
        <f>'Cost Inputs - Personnel'!B30</f>
        <v>Other 4</v>
      </c>
    </row>
  </sheetData>
  <sheetProtection/>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7" activePane="bottomRight" state="frozen"/>
      <selection pane="topLeft" activeCell="F4" sqref="F4"/>
      <selection pane="topRight" activeCell="F4" sqref="F4"/>
      <selection pane="bottomLeft" activeCell="F4" sqref="F4"/>
      <selection pane="bottomRight" activeCell="K9" sqref="K9"/>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23" t="s">
        <v>393</v>
      </c>
      <c r="B3" s="724"/>
      <c r="C3" s="718" t="s">
        <v>342</v>
      </c>
      <c r="D3" s="719"/>
      <c r="E3" s="719"/>
      <c r="F3" s="674"/>
      <c r="G3" s="674"/>
      <c r="H3" s="675"/>
      <c r="I3" s="660"/>
      <c r="J3" s="661"/>
      <c r="K3" s="661"/>
      <c r="L3" s="131"/>
      <c r="M3" s="128"/>
      <c r="N3" s="131"/>
      <c r="O3" s="128"/>
      <c r="P3" s="132"/>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row>
    <row r="4" spans="1:102" s="302" customFormat="1" ht="12.75" customHeight="1">
      <c r="A4" s="721" t="s">
        <v>106</v>
      </c>
      <c r="B4" s="721"/>
      <c r="C4" s="407"/>
      <c r="D4" s="294"/>
      <c r="E4" s="295"/>
      <c r="F4" s="296"/>
      <c r="G4" s="296"/>
      <c r="H4" s="297"/>
      <c r="I4" s="298"/>
      <c r="J4" s="299"/>
      <c r="K4" s="299"/>
      <c r="L4" s="299"/>
      <c r="M4" s="300"/>
      <c r="N4" s="299"/>
      <c r="O4" s="300"/>
      <c r="P4" s="301"/>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c r="BK4" s="560"/>
      <c r="BL4" s="560"/>
      <c r="BM4" s="560"/>
      <c r="BN4" s="560"/>
      <c r="BO4" s="560"/>
      <c r="BP4" s="560"/>
      <c r="BQ4" s="560"/>
      <c r="BR4" s="560"/>
      <c r="BS4" s="560"/>
      <c r="BT4" s="560"/>
      <c r="BU4" s="560"/>
      <c r="BV4" s="560"/>
      <c r="BW4" s="560"/>
      <c r="BX4" s="560"/>
      <c r="BY4" s="560"/>
      <c r="BZ4" s="560"/>
      <c r="CA4" s="560"/>
      <c r="CB4" s="560"/>
      <c r="CC4" s="560"/>
      <c r="CD4" s="560"/>
      <c r="CE4" s="560"/>
      <c r="CF4" s="560"/>
      <c r="CG4" s="560"/>
      <c r="CH4" s="560"/>
      <c r="CI4" s="560"/>
      <c r="CJ4" s="560"/>
      <c r="CK4" s="560"/>
      <c r="CL4" s="560"/>
      <c r="CM4" s="560"/>
      <c r="CN4" s="560"/>
      <c r="CO4" s="560"/>
      <c r="CP4" s="560"/>
      <c r="CQ4" s="560"/>
      <c r="CR4" s="560"/>
      <c r="CS4" s="560"/>
      <c r="CT4" s="560"/>
      <c r="CU4" s="560"/>
      <c r="CV4" s="560"/>
      <c r="CW4" s="560"/>
      <c r="CX4" s="560"/>
    </row>
    <row r="5" spans="1:102" s="303" customFormat="1" ht="12.75">
      <c r="A5" s="725" t="s">
        <v>282</v>
      </c>
      <c r="B5" s="725"/>
      <c r="C5" s="407"/>
      <c r="D5" s="134"/>
      <c r="E5" s="50"/>
      <c r="F5" s="50"/>
      <c r="G5" s="50"/>
      <c r="H5" s="50"/>
      <c r="I5" s="50"/>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row>
    <row r="6" spans="1:102" s="140" customFormat="1" ht="67.5">
      <c r="A6" s="269" t="s">
        <v>38</v>
      </c>
      <c r="B6" s="495" t="s">
        <v>40</v>
      </c>
      <c r="C6" s="495" t="s">
        <v>247</v>
      </c>
      <c r="D6" s="495" t="s">
        <v>41</v>
      </c>
      <c r="E6" s="495" t="s">
        <v>42</v>
      </c>
      <c r="F6" s="495" t="s">
        <v>43</v>
      </c>
      <c r="G6" s="495" t="s">
        <v>44</v>
      </c>
      <c r="H6" s="495" t="s">
        <v>45</v>
      </c>
      <c r="I6" s="495" t="s">
        <v>46</v>
      </c>
      <c r="J6" s="495" t="s">
        <v>47</v>
      </c>
      <c r="K6" s="495" t="s">
        <v>248</v>
      </c>
      <c r="L6" s="138" t="s">
        <v>48</v>
      </c>
      <c r="M6" s="136" t="s">
        <v>50</v>
      </c>
      <c r="N6" s="136" t="s">
        <v>49</v>
      </c>
      <c r="O6" s="139"/>
      <c r="P6" s="137" t="s">
        <v>39</v>
      </c>
      <c r="AL6" s="565"/>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row>
    <row r="7" spans="1:102" s="140" customFormat="1" ht="12.75">
      <c r="A7" s="240" t="s">
        <v>297</v>
      </c>
      <c r="B7" s="348"/>
      <c r="C7" s="503"/>
      <c r="D7" s="503"/>
      <c r="E7" s="504"/>
      <c r="F7" s="348"/>
      <c r="G7" s="348"/>
      <c r="H7" s="505"/>
      <c r="I7" s="255"/>
      <c r="J7" s="349"/>
      <c r="K7" s="506"/>
      <c r="L7" s="143"/>
      <c r="M7" s="142"/>
      <c r="N7" s="142"/>
      <c r="O7" s="144"/>
      <c r="P7" s="141"/>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row>
    <row r="8" spans="1:102" s="140" customFormat="1" ht="12.75">
      <c r="A8" s="361" t="str">
        <f>'Country Information'!C39</f>
        <v>Pre-circumcision</v>
      </c>
      <c r="B8" s="507"/>
      <c r="C8" s="550"/>
      <c r="D8" s="508"/>
      <c r="E8" s="509"/>
      <c r="F8" s="507"/>
      <c r="G8" s="507"/>
      <c r="H8" s="510"/>
      <c r="I8" s="337"/>
      <c r="J8" s="511"/>
      <c r="K8" s="512"/>
      <c r="L8" s="143"/>
      <c r="M8" s="142"/>
      <c r="N8" s="142"/>
      <c r="O8" s="144"/>
      <c r="P8" s="141"/>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2"/>
      <c r="BR8" s="562"/>
      <c r="BS8" s="562"/>
      <c r="BT8" s="562"/>
      <c r="BU8" s="562"/>
      <c r="BV8" s="562"/>
      <c r="BW8" s="562"/>
      <c r="BX8" s="562"/>
      <c r="BY8" s="562"/>
      <c r="BZ8" s="562"/>
      <c r="CA8" s="562"/>
      <c r="CB8" s="562"/>
      <c r="CC8" s="562"/>
      <c r="CD8" s="562"/>
      <c r="CE8" s="562"/>
      <c r="CF8" s="562"/>
      <c r="CG8" s="562"/>
      <c r="CH8" s="562"/>
      <c r="CI8" s="562"/>
      <c r="CJ8" s="562"/>
      <c r="CK8" s="562"/>
      <c r="CL8" s="562"/>
      <c r="CM8" s="562"/>
      <c r="CN8" s="562"/>
      <c r="CO8" s="562"/>
      <c r="CP8" s="562"/>
      <c r="CQ8" s="562"/>
      <c r="CR8" s="562"/>
      <c r="CS8" s="562"/>
      <c r="CT8" s="562"/>
      <c r="CU8" s="562"/>
      <c r="CV8" s="562"/>
      <c r="CW8" s="562"/>
      <c r="CX8" s="562"/>
    </row>
    <row r="9" spans="1:102" s="140" customFormat="1" ht="12.75">
      <c r="A9" s="513" t="str">
        <f>A8</f>
        <v>Pre-circumcision</v>
      </c>
      <c r="B9" s="496" t="s">
        <v>252</v>
      </c>
      <c r="C9" s="497">
        <v>1</v>
      </c>
      <c r="D9" s="498"/>
      <c r="E9" s="499">
        <v>1</v>
      </c>
      <c r="F9" s="500">
        <v>1</v>
      </c>
      <c r="G9" s="500">
        <v>1</v>
      </c>
      <c r="H9" s="501">
        <f>E9*F9*G9</f>
        <v>1</v>
      </c>
      <c r="I9" s="145">
        <f>VLOOKUP(B9,Drug_prices,9,FALSE)</f>
        <v>2.459016393442623</v>
      </c>
      <c r="J9" s="502">
        <f>H9*I9</f>
        <v>2.459016393442623</v>
      </c>
      <c r="K9" s="502">
        <f>J9*C9</f>
        <v>2.459016393442623</v>
      </c>
      <c r="L9" s="349"/>
      <c r="M9" s="348"/>
      <c r="N9" s="348"/>
      <c r="O9" s="350"/>
      <c r="P9" s="351"/>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O9" s="562"/>
      <c r="CP9" s="562"/>
      <c r="CQ9" s="562"/>
      <c r="CR9" s="562"/>
      <c r="CS9" s="562"/>
      <c r="CT9" s="562"/>
      <c r="CU9" s="562"/>
      <c r="CV9" s="562"/>
      <c r="CW9" s="562"/>
      <c r="CX9" s="562"/>
    </row>
    <row r="10" spans="1:102" s="235" customFormat="1" ht="12.75">
      <c r="A10" s="513" t="str">
        <f>A9</f>
        <v>Pre-circumcision</v>
      </c>
      <c r="B10" s="452" t="str">
        <f>'Cost Inputs - Drug &amp; Supplies'!B18</f>
        <v>Gloves, examination, non-sterile, disposable, pair</v>
      </c>
      <c r="C10" s="488">
        <v>1</v>
      </c>
      <c r="D10" s="488">
        <v>0</v>
      </c>
      <c r="E10" s="493">
        <v>1</v>
      </c>
      <c r="F10" s="494">
        <v>1</v>
      </c>
      <c r="G10" s="494">
        <v>1</v>
      </c>
      <c r="H10" s="501">
        <f>E10*F10*G10</f>
        <v>1</v>
      </c>
      <c r="I10" s="491">
        <f>VLOOKUP(B10,Drug_prices,9,FALSE)</f>
        <v>0.05163934426229508</v>
      </c>
      <c r="J10" s="491">
        <f>H10*I10</f>
        <v>0.05163934426229508</v>
      </c>
      <c r="K10" s="491">
        <f>J10*C10</f>
        <v>0.05163934426229508</v>
      </c>
      <c r="L10" s="146">
        <f>J10*D10</f>
        <v>0</v>
      </c>
      <c r="M10" s="146">
        <f>IF(VLOOKUP(B10,Drug_prices,7)="x",K10,0)</f>
        <v>0</v>
      </c>
      <c r="N10" s="146">
        <f>IF(VLOOKUP(B10,Drug_prices,7)="x",L10,0)</f>
        <v>0</v>
      </c>
      <c r="O10" s="147"/>
      <c r="P10" s="148"/>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row>
    <row r="11" spans="1:102" ht="12.75">
      <c r="A11" s="361" t="str">
        <f>'Country Information'!D39</f>
        <v>Circumcision</v>
      </c>
      <c r="B11" s="516"/>
      <c r="C11" s="516"/>
      <c r="D11" s="517"/>
      <c r="E11" s="517"/>
      <c r="F11" s="517"/>
      <c r="G11" s="517"/>
      <c r="H11" s="517"/>
      <c r="I11" s="517"/>
      <c r="J11" s="517"/>
      <c r="K11" s="518"/>
      <c r="L11" s="125"/>
      <c r="M11" s="155"/>
      <c r="N11" s="125"/>
      <c r="O11" s="150"/>
      <c r="P11" s="150"/>
      <c r="Q11" s="125"/>
      <c r="R11" s="125"/>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row>
    <row r="12" spans="1:102" s="126" customFormat="1" ht="12.75">
      <c r="A12" s="513" t="str">
        <f>'Country Information'!D$39</f>
        <v>Circumcision</v>
      </c>
      <c r="B12" s="453" t="str">
        <f>'Cost Inputs - Drug &amp; Supplies'!B17</f>
        <v>Gloves, surgeons, sterile disposable, pair</v>
      </c>
      <c r="C12" s="488">
        <v>1</v>
      </c>
      <c r="D12" s="488">
        <v>0</v>
      </c>
      <c r="E12" s="489">
        <v>4</v>
      </c>
      <c r="F12" s="490">
        <v>1</v>
      </c>
      <c r="G12" s="490">
        <v>1</v>
      </c>
      <c r="H12" s="501">
        <f aca="true" t="shared" si="0" ref="H12:H44">E12*F12*G12</f>
        <v>4</v>
      </c>
      <c r="I12" s="491">
        <f aca="true" t="shared" si="1" ref="I12:I44">VLOOKUP(B12,Drug_prices,9,FALSE)</f>
        <v>0.20765027322404372</v>
      </c>
      <c r="J12" s="492">
        <f aca="true" t="shared" si="2" ref="J12:J44">H12*I12</f>
        <v>0.8306010928961749</v>
      </c>
      <c r="K12" s="492">
        <f aca="true" t="shared" si="3" ref="K12:K44">J12*C12</f>
        <v>0.8306010928961749</v>
      </c>
      <c r="L12" s="151">
        <f aca="true" t="shared" si="4" ref="L12:L44">J12*D12</f>
        <v>0</v>
      </c>
      <c r="M12" s="338">
        <f aca="true" t="shared" si="5" ref="M12:M44">IF(VLOOKUP(B12,Drug_prices,7)="x",K12,0)</f>
        <v>0</v>
      </c>
      <c r="N12" s="151">
        <f>IF(VLOOKUP(B12,Drug_prices,7)="x",L12,0)</f>
        <v>0</v>
      </c>
      <c r="O12" s="152"/>
      <c r="P12" s="15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row>
    <row r="13" spans="1:102" s="126" customFormat="1" ht="12.75">
      <c r="A13" s="513" t="str">
        <f>'Country Information'!D$39</f>
        <v>Circumcision</v>
      </c>
      <c r="B13" s="452" t="str">
        <f>'Cost Inputs - Drug &amp; Supplies'!B18</f>
        <v>Gloves, examination, non-sterile, disposable, pair</v>
      </c>
      <c r="C13" s="488">
        <v>1</v>
      </c>
      <c r="D13" s="488">
        <v>0</v>
      </c>
      <c r="E13" s="493">
        <v>2</v>
      </c>
      <c r="F13" s="494">
        <v>1</v>
      </c>
      <c r="G13" s="494">
        <v>1</v>
      </c>
      <c r="H13" s="501">
        <f t="shared" si="0"/>
        <v>2</v>
      </c>
      <c r="I13" s="491">
        <f t="shared" si="1"/>
        <v>0.05163934426229508</v>
      </c>
      <c r="J13" s="491">
        <f t="shared" si="2"/>
        <v>0.10327868852459016</v>
      </c>
      <c r="K13" s="491">
        <f t="shared" si="3"/>
        <v>0.10327868852459016</v>
      </c>
      <c r="L13" s="155">
        <f t="shared" si="4"/>
        <v>0</v>
      </c>
      <c r="M13" s="338">
        <f t="shared" si="5"/>
        <v>0</v>
      </c>
      <c r="N13" s="155">
        <f>IF(VLOOKUP(B13,Drug_prices,7)="x",L13,0)</f>
        <v>0</v>
      </c>
      <c r="O13" s="163"/>
      <c r="P13" s="157"/>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row>
    <row r="14" spans="1:102" ht="12.75">
      <c r="A14" s="513" t="str">
        <f>'Country Information'!D$39</f>
        <v>Circumcision</v>
      </c>
      <c r="B14" s="455" t="str">
        <f>'Cost Inputs - Drug &amp; Supplies'!B29</f>
        <v>Surgical Mask</v>
      </c>
      <c r="C14" s="488">
        <v>1</v>
      </c>
      <c r="D14" s="488">
        <v>0</v>
      </c>
      <c r="E14" s="493">
        <v>3</v>
      </c>
      <c r="F14" s="494">
        <v>1</v>
      </c>
      <c r="G14" s="494">
        <v>1</v>
      </c>
      <c r="H14" s="501">
        <f t="shared" si="0"/>
        <v>3</v>
      </c>
      <c r="I14" s="491">
        <f t="shared" si="1"/>
        <v>0.03551912568306011</v>
      </c>
      <c r="J14" s="491">
        <f t="shared" si="2"/>
        <v>0.10655737704918032</v>
      </c>
      <c r="K14" s="491">
        <f t="shared" si="3"/>
        <v>0.10655737704918032</v>
      </c>
      <c r="L14" s="155">
        <f t="shared" si="4"/>
        <v>0</v>
      </c>
      <c r="M14" s="338">
        <f t="shared" si="5"/>
        <v>0</v>
      </c>
      <c r="N14" s="155"/>
      <c r="O14" s="156"/>
      <c r="P14" s="157"/>
      <c r="Q14" s="125"/>
      <c r="R14" s="125"/>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row>
    <row r="15" spans="1:102" ht="12.75">
      <c r="A15" s="513" t="str">
        <f>'Country Information'!D$39</f>
        <v>Circumcision</v>
      </c>
      <c r="B15" s="455" t="str">
        <f>'Cost Inputs - Drug &amp; Supplies'!B35</f>
        <v>Surgical cap (disposable)</v>
      </c>
      <c r="C15" s="488">
        <v>1</v>
      </c>
      <c r="D15" s="488">
        <v>0</v>
      </c>
      <c r="E15" s="493">
        <v>3</v>
      </c>
      <c r="F15" s="494">
        <v>1</v>
      </c>
      <c r="G15" s="494">
        <v>1</v>
      </c>
      <c r="H15" s="501">
        <f t="shared" si="0"/>
        <v>3</v>
      </c>
      <c r="I15" s="491">
        <f t="shared" si="1"/>
        <v>0.3251366120218579</v>
      </c>
      <c r="J15" s="491">
        <f t="shared" si="2"/>
        <v>0.9754098360655736</v>
      </c>
      <c r="K15" s="491">
        <f t="shared" si="3"/>
        <v>0.9754098360655736</v>
      </c>
      <c r="L15" s="155">
        <f t="shared" si="4"/>
        <v>0</v>
      </c>
      <c r="M15" s="338">
        <f t="shared" si="5"/>
        <v>0</v>
      </c>
      <c r="N15" s="155"/>
      <c r="O15" s="156"/>
      <c r="P15" s="157"/>
      <c r="Q15" s="125"/>
      <c r="R15" s="125"/>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row>
    <row r="16" spans="1:102" ht="12.75">
      <c r="A16" s="513" t="str">
        <f>'Country Information'!D$39</f>
        <v>Circumcision</v>
      </c>
      <c r="B16" s="457" t="str">
        <f>'Cost Inputs - Drug &amp; Supplies'!B20</f>
        <v>Goggles (for surgery)</v>
      </c>
      <c r="C16" s="488">
        <v>0</v>
      </c>
      <c r="D16" s="488">
        <v>0</v>
      </c>
      <c r="E16" s="493">
        <v>0</v>
      </c>
      <c r="F16" s="494">
        <v>1</v>
      </c>
      <c r="G16" s="494">
        <v>1</v>
      </c>
      <c r="H16" s="501">
        <f t="shared" si="0"/>
        <v>0</v>
      </c>
      <c r="I16" s="491">
        <f t="shared" si="1"/>
        <v>0</v>
      </c>
      <c r="J16" s="491">
        <f t="shared" si="2"/>
        <v>0</v>
      </c>
      <c r="K16" s="491">
        <f t="shared" si="3"/>
        <v>0</v>
      </c>
      <c r="L16" s="155">
        <f t="shared" si="4"/>
        <v>0</v>
      </c>
      <c r="M16" s="338">
        <f t="shared" si="5"/>
        <v>0</v>
      </c>
      <c r="N16" s="155"/>
      <c r="O16" s="156"/>
      <c r="P16" s="157"/>
      <c r="Q16" s="125"/>
      <c r="R16" s="125"/>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row>
    <row r="17" spans="1:102" ht="12.75">
      <c r="A17" s="513" t="str">
        <f>'Country Information'!D$39</f>
        <v>Circumcision</v>
      </c>
      <c r="B17" s="457" t="str">
        <f>'Cost Inputs - Drug &amp; Supplies'!B36</f>
        <v>Surgical scrub Betadine</v>
      </c>
      <c r="C17" s="488">
        <v>1</v>
      </c>
      <c r="D17" s="488">
        <v>0</v>
      </c>
      <c r="E17" s="493">
        <f>2*15</f>
        <v>30</v>
      </c>
      <c r="F17" s="494">
        <v>1</v>
      </c>
      <c r="G17" s="494">
        <v>1</v>
      </c>
      <c r="H17" s="501">
        <f t="shared" si="0"/>
        <v>30</v>
      </c>
      <c r="I17" s="491">
        <f t="shared" si="1"/>
        <v>0.018442622950819672</v>
      </c>
      <c r="J17" s="491">
        <f t="shared" si="2"/>
        <v>0.5532786885245902</v>
      </c>
      <c r="K17" s="491">
        <f t="shared" si="3"/>
        <v>0.5532786885245902</v>
      </c>
      <c r="L17" s="155">
        <f t="shared" si="4"/>
        <v>0</v>
      </c>
      <c r="M17" s="338">
        <f t="shared" si="5"/>
        <v>0</v>
      </c>
      <c r="N17" s="159"/>
      <c r="O17" s="160"/>
      <c r="P17" s="157"/>
      <c r="Q17" s="125"/>
      <c r="R17" s="125"/>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row>
    <row r="18" spans="1:102" ht="12.75">
      <c r="A18" s="513" t="str">
        <f>'Country Information'!D$39</f>
        <v>Circumcision</v>
      </c>
      <c r="B18" s="457" t="str">
        <f>'Cost Inputs - Drug &amp; Supplies'!B21</f>
        <v>Hibiscrub</v>
      </c>
      <c r="C18" s="488">
        <v>0</v>
      </c>
      <c r="D18" s="488">
        <v>0</v>
      </c>
      <c r="E18" s="493">
        <v>0</v>
      </c>
      <c r="F18" s="494">
        <v>1</v>
      </c>
      <c r="G18" s="494">
        <v>1</v>
      </c>
      <c r="H18" s="501">
        <f t="shared" si="0"/>
        <v>0</v>
      </c>
      <c r="I18" s="491">
        <f t="shared" si="1"/>
        <v>0.0036885245901639345</v>
      </c>
      <c r="J18" s="491">
        <f>H18*I18</f>
        <v>0</v>
      </c>
      <c r="K18" s="491">
        <f>J18*C18</f>
        <v>0</v>
      </c>
      <c r="L18" s="155">
        <f>J18*D18</f>
        <v>0</v>
      </c>
      <c r="M18" s="338">
        <f t="shared" si="5"/>
        <v>0</v>
      </c>
      <c r="N18" s="159"/>
      <c r="O18" s="160"/>
      <c r="P18" s="157"/>
      <c r="Q18" s="125"/>
      <c r="R18" s="125"/>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row>
    <row r="19" spans="1:102" ht="12.75">
      <c r="A19" s="513" t="str">
        <f>'Country Information'!D$39</f>
        <v>Circumcision</v>
      </c>
      <c r="B19" s="460" t="str">
        <f>'Cost Inputs - Drug &amp; Supplies'!B34</f>
        <v>Salvalon</v>
      </c>
      <c r="C19" s="488">
        <v>0</v>
      </c>
      <c r="D19" s="488">
        <v>0</v>
      </c>
      <c r="E19" s="493">
        <v>0</v>
      </c>
      <c r="F19" s="494">
        <v>1</v>
      </c>
      <c r="G19" s="494">
        <v>1</v>
      </c>
      <c r="H19" s="501">
        <f t="shared" si="0"/>
        <v>0</v>
      </c>
      <c r="I19" s="491">
        <f t="shared" si="1"/>
        <v>0.005456967213114754</v>
      </c>
      <c r="J19" s="491">
        <f t="shared" si="2"/>
        <v>0</v>
      </c>
      <c r="K19" s="491">
        <f t="shared" si="3"/>
        <v>0</v>
      </c>
      <c r="L19" s="155">
        <f t="shared" si="4"/>
        <v>0</v>
      </c>
      <c r="M19" s="338">
        <f t="shared" si="5"/>
        <v>0</v>
      </c>
      <c r="N19" s="159"/>
      <c r="O19" s="160"/>
      <c r="P19" s="157"/>
      <c r="Q19" s="125"/>
      <c r="R19" s="125"/>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row>
    <row r="20" spans="1:102" ht="12.75">
      <c r="A20" s="513" t="str">
        <f>'Country Information'!D$39</f>
        <v>Circumcision</v>
      </c>
      <c r="B20" s="452" t="str">
        <f>'Cost Inputs - Drug &amp; Supplies'!B32</f>
        <v>Povidone antiseptic solution </v>
      </c>
      <c r="C20" s="488">
        <v>1</v>
      </c>
      <c r="D20" s="488">
        <v>0</v>
      </c>
      <c r="E20" s="493">
        <v>40</v>
      </c>
      <c r="F20" s="494">
        <v>1</v>
      </c>
      <c r="G20" s="494">
        <v>1</v>
      </c>
      <c r="H20" s="501">
        <f t="shared" si="0"/>
        <v>40</v>
      </c>
      <c r="I20" s="491">
        <f t="shared" si="1"/>
        <v>0.0036885245901639345</v>
      </c>
      <c r="J20" s="491">
        <f>H20*I20</f>
        <v>0.14754098360655737</v>
      </c>
      <c r="K20" s="491">
        <f>J20*C20</f>
        <v>0.14754098360655737</v>
      </c>
      <c r="L20" s="155">
        <f>J20*D20</f>
        <v>0</v>
      </c>
      <c r="M20" s="338">
        <f t="shared" si="5"/>
        <v>0</v>
      </c>
      <c r="N20" s="159"/>
      <c r="O20" s="160"/>
      <c r="P20" s="157"/>
      <c r="Q20" s="125"/>
      <c r="R20" s="125"/>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row>
    <row r="21" spans="1:102" ht="12.75">
      <c r="A21" s="513" t="str">
        <f>'Country Information'!D$39</f>
        <v>Circumcision</v>
      </c>
      <c r="B21" s="455" t="str">
        <f>'Cost Inputs - Drug &amp; Supplies'!B13</f>
        <v>Gauze pad, sterile, 8ply 100x100mm</v>
      </c>
      <c r="C21" s="488">
        <v>1</v>
      </c>
      <c r="D21" s="488">
        <v>0</v>
      </c>
      <c r="E21" s="493">
        <v>12</v>
      </c>
      <c r="F21" s="494">
        <v>1</v>
      </c>
      <c r="G21" s="494">
        <v>1</v>
      </c>
      <c r="H21" s="501">
        <f t="shared" si="0"/>
        <v>12</v>
      </c>
      <c r="I21" s="491">
        <f t="shared" si="1"/>
        <v>0.006475409836065574</v>
      </c>
      <c r="J21" s="491">
        <f t="shared" si="2"/>
        <v>0.0777049180327869</v>
      </c>
      <c r="K21" s="491">
        <f t="shared" si="3"/>
        <v>0.0777049180327869</v>
      </c>
      <c r="L21" s="155">
        <f t="shared" si="4"/>
        <v>0</v>
      </c>
      <c r="M21" s="338">
        <f t="shared" si="5"/>
        <v>0</v>
      </c>
      <c r="N21" s="155">
        <f>IF(VLOOKUP(B21,Drug_prices,7)="x",L21,0)</f>
        <v>0</v>
      </c>
      <c r="O21" s="156"/>
      <c r="P21" s="157"/>
      <c r="Q21" s="125"/>
      <c r="R21" s="125"/>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row>
    <row r="22" spans="1:102" ht="12.75">
      <c r="A22" s="513" t="str">
        <f>'Country Information'!D$39</f>
        <v>Circumcision</v>
      </c>
      <c r="B22" s="453" t="str">
        <f>'Cost Inputs - Drug &amp; Supplies'!B14</f>
        <v>Gauze pad, sterile, 12ply 76x76mm</v>
      </c>
      <c r="C22" s="514">
        <v>0</v>
      </c>
      <c r="D22" s="514">
        <v>0</v>
      </c>
      <c r="E22" s="489">
        <v>0</v>
      </c>
      <c r="F22" s="490">
        <v>1</v>
      </c>
      <c r="G22" s="490">
        <v>1</v>
      </c>
      <c r="H22" s="501">
        <f t="shared" si="0"/>
        <v>0</v>
      </c>
      <c r="I22" s="491">
        <f t="shared" si="1"/>
        <v>0.006475409836065574</v>
      </c>
      <c r="J22" s="491">
        <f t="shared" si="2"/>
        <v>0</v>
      </c>
      <c r="K22" s="491">
        <f t="shared" si="3"/>
        <v>0</v>
      </c>
      <c r="L22" s="155">
        <f t="shared" si="4"/>
        <v>0</v>
      </c>
      <c r="M22" s="338">
        <f t="shared" si="5"/>
        <v>0</v>
      </c>
      <c r="N22" s="151">
        <f>IF(VLOOKUP(B22,Drug_prices,7)="x",L22,0)</f>
        <v>0</v>
      </c>
      <c r="O22" s="163"/>
      <c r="P22" s="157"/>
      <c r="Q22" s="125"/>
      <c r="R22" s="125"/>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row>
    <row r="23" spans="1:102" ht="12.75">
      <c r="A23" s="513" t="str">
        <f>'Country Information'!D$39</f>
        <v>Circumcision</v>
      </c>
      <c r="B23" s="452" t="str">
        <f>'Cost Inputs - Drug &amp; Supplies'!B25</f>
        <v>Lignocaine 2%, injection 20ml</v>
      </c>
      <c r="C23" s="514">
        <v>1</v>
      </c>
      <c r="D23" s="514">
        <v>0</v>
      </c>
      <c r="E23" s="493">
        <v>20</v>
      </c>
      <c r="F23" s="494">
        <v>1</v>
      </c>
      <c r="G23" s="494">
        <v>1</v>
      </c>
      <c r="H23" s="501">
        <f t="shared" si="0"/>
        <v>20</v>
      </c>
      <c r="I23" s="491">
        <f t="shared" si="1"/>
        <v>0.11810109289617485</v>
      </c>
      <c r="J23" s="491">
        <f t="shared" si="2"/>
        <v>2.362021857923497</v>
      </c>
      <c r="K23" s="491">
        <f t="shared" si="3"/>
        <v>2.362021857923497</v>
      </c>
      <c r="L23" s="155">
        <f t="shared" si="4"/>
        <v>0</v>
      </c>
      <c r="M23" s="338">
        <f t="shared" si="5"/>
        <v>0</v>
      </c>
      <c r="N23" s="155"/>
      <c r="O23" s="161"/>
      <c r="P23" s="157"/>
      <c r="Q23" s="125"/>
      <c r="R23" s="125"/>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3"/>
      <c r="CU23" s="563"/>
      <c r="CV23" s="563"/>
      <c r="CW23" s="563"/>
      <c r="CX23" s="563"/>
    </row>
    <row r="24" spans="1:102" ht="12.75">
      <c r="A24" s="513" t="str">
        <f>'Country Information'!D$39</f>
        <v>Circumcision</v>
      </c>
      <c r="B24" s="452" t="str">
        <f>'Cost Inputs - Drug &amp; Supplies'!B28</f>
        <v>Needle 21 guage</v>
      </c>
      <c r="C24" s="514">
        <v>1</v>
      </c>
      <c r="D24" s="514">
        <v>0</v>
      </c>
      <c r="E24" s="493">
        <v>1</v>
      </c>
      <c r="F24" s="494">
        <v>1</v>
      </c>
      <c r="G24" s="494">
        <v>1</v>
      </c>
      <c r="H24" s="501">
        <f t="shared" si="0"/>
        <v>1</v>
      </c>
      <c r="I24" s="491">
        <f t="shared" si="1"/>
        <v>0.026366120218579234</v>
      </c>
      <c r="J24" s="491">
        <f>H24*I24</f>
        <v>0.026366120218579234</v>
      </c>
      <c r="K24" s="491">
        <f>J24*C24</f>
        <v>0.026366120218579234</v>
      </c>
      <c r="L24" s="155">
        <f>J24*D24</f>
        <v>0</v>
      </c>
      <c r="M24" s="338">
        <f t="shared" si="5"/>
        <v>0</v>
      </c>
      <c r="N24" s="155"/>
      <c r="O24" s="161"/>
      <c r="P24" s="157"/>
      <c r="Q24" s="125"/>
      <c r="R24" s="125"/>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row>
    <row r="25" spans="1:102" ht="12.75">
      <c r="A25" s="513" t="str">
        <f>'Country Information'!D$39</f>
        <v>Circumcision</v>
      </c>
      <c r="B25" s="452" t="str">
        <f>'Cost Inputs - Drug &amp; Supplies'!B27</f>
        <v>Needle 18 guage</v>
      </c>
      <c r="C25" s="514">
        <v>1</v>
      </c>
      <c r="D25" s="514">
        <v>0</v>
      </c>
      <c r="E25" s="493">
        <v>1</v>
      </c>
      <c r="F25" s="494">
        <v>1</v>
      </c>
      <c r="G25" s="494">
        <v>1</v>
      </c>
      <c r="H25" s="501">
        <f t="shared" si="0"/>
        <v>1</v>
      </c>
      <c r="I25" s="491">
        <f t="shared" si="1"/>
        <v>0.027117486338797816</v>
      </c>
      <c r="J25" s="491">
        <f t="shared" si="2"/>
        <v>0.027117486338797816</v>
      </c>
      <c r="K25" s="491">
        <f t="shared" si="3"/>
        <v>0.027117486338797816</v>
      </c>
      <c r="L25" s="155">
        <f t="shared" si="4"/>
        <v>0</v>
      </c>
      <c r="M25" s="338">
        <f t="shared" si="5"/>
        <v>0</v>
      </c>
      <c r="N25" s="155"/>
      <c r="O25" s="161"/>
      <c r="P25" s="157"/>
      <c r="Q25" s="125"/>
      <c r="R25" s="125"/>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row>
    <row r="26" spans="1:102" ht="12.75">
      <c r="A26" s="513" t="str">
        <f>'Country Information'!D$39</f>
        <v>Circumcision</v>
      </c>
      <c r="B26" s="452" t="str">
        <f>'Cost Inputs - Drug &amp; Supplies'!B42</f>
        <v>Syringe, 10ml, disposable</v>
      </c>
      <c r="C26" s="488">
        <v>1</v>
      </c>
      <c r="D26" s="488">
        <v>0</v>
      </c>
      <c r="E26" s="493">
        <v>1</v>
      </c>
      <c r="F26" s="494">
        <v>1</v>
      </c>
      <c r="G26" s="494">
        <v>1</v>
      </c>
      <c r="H26" s="501">
        <f t="shared" si="0"/>
        <v>1</v>
      </c>
      <c r="I26" s="491">
        <f t="shared" si="1"/>
        <v>0.03135245901639344</v>
      </c>
      <c r="J26" s="491">
        <f>H26*I26</f>
        <v>0.03135245901639344</v>
      </c>
      <c r="K26" s="491">
        <f>J26*C26</f>
        <v>0.03135245901639344</v>
      </c>
      <c r="L26" s="155">
        <f>J26*D26</f>
        <v>0</v>
      </c>
      <c r="M26" s="338">
        <f t="shared" si="5"/>
        <v>0</v>
      </c>
      <c r="N26" s="162">
        <f>IF(VLOOKUP(B26,Drug_prices,7)="x",L26,0)</f>
        <v>0</v>
      </c>
      <c r="O26" s="156"/>
      <c r="P26" s="157"/>
      <c r="Q26" s="125"/>
      <c r="R26" s="125"/>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563"/>
      <c r="CS26" s="563"/>
      <c r="CT26" s="563"/>
      <c r="CU26" s="563"/>
      <c r="CV26" s="563"/>
      <c r="CW26" s="563"/>
      <c r="CX26" s="563"/>
    </row>
    <row r="27" spans="1:102" ht="12.75">
      <c r="A27" s="513" t="str">
        <f>'Country Information'!D$39</f>
        <v>Circumcision</v>
      </c>
      <c r="B27" s="458" t="str">
        <f>'Cost Inputs - Drug &amp; Supplies'!B24</f>
        <v>Ketamine, injection 50mg/ml</v>
      </c>
      <c r="C27" s="514">
        <v>0</v>
      </c>
      <c r="D27" s="514">
        <v>0</v>
      </c>
      <c r="E27" s="493">
        <v>0</v>
      </c>
      <c r="F27" s="494">
        <v>1</v>
      </c>
      <c r="G27" s="494">
        <v>1</v>
      </c>
      <c r="H27" s="501">
        <f t="shared" si="0"/>
        <v>0</v>
      </c>
      <c r="I27" s="491">
        <f t="shared" si="1"/>
        <v>0.11639344262295082</v>
      </c>
      <c r="J27" s="491">
        <f t="shared" si="2"/>
        <v>0</v>
      </c>
      <c r="K27" s="491">
        <f t="shared" si="3"/>
        <v>0</v>
      </c>
      <c r="L27" s="155">
        <f t="shared" si="4"/>
        <v>0</v>
      </c>
      <c r="M27" s="338">
        <f t="shared" si="5"/>
        <v>0</v>
      </c>
      <c r="N27" s="155"/>
      <c r="O27" s="161"/>
      <c r="P27" s="157"/>
      <c r="Q27" s="125"/>
      <c r="R27" s="125"/>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row>
    <row r="28" spans="1:102" ht="12.75">
      <c r="A28" s="513" t="str">
        <f>'Country Information'!D$39</f>
        <v>Circumcision</v>
      </c>
      <c r="B28" s="458" t="str">
        <f>'Cost Inputs - Drug &amp; Supplies'!B46</f>
        <v>Thiopental, injection 1g + diluent</v>
      </c>
      <c r="C28" s="514">
        <v>0</v>
      </c>
      <c r="D28" s="514">
        <v>0</v>
      </c>
      <c r="E28" s="493">
        <v>0</v>
      </c>
      <c r="F28" s="494">
        <v>1</v>
      </c>
      <c r="G28" s="494">
        <v>1</v>
      </c>
      <c r="H28" s="501">
        <f t="shared" si="0"/>
        <v>0</v>
      </c>
      <c r="I28" s="491">
        <f t="shared" si="1"/>
        <v>0</v>
      </c>
      <c r="J28" s="491">
        <f t="shared" si="2"/>
        <v>0</v>
      </c>
      <c r="K28" s="491">
        <f t="shared" si="3"/>
        <v>0</v>
      </c>
      <c r="L28" s="155">
        <f t="shared" si="4"/>
        <v>0</v>
      </c>
      <c r="M28" s="338">
        <f t="shared" si="5"/>
        <v>0</v>
      </c>
      <c r="N28" s="155"/>
      <c r="O28" s="161"/>
      <c r="P28" s="157"/>
      <c r="Q28" s="125"/>
      <c r="R28" s="125"/>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c r="CO28" s="563"/>
      <c r="CP28" s="563"/>
      <c r="CQ28" s="563"/>
      <c r="CR28" s="563"/>
      <c r="CS28" s="563"/>
      <c r="CT28" s="563"/>
      <c r="CU28" s="563"/>
      <c r="CV28" s="563"/>
      <c r="CW28" s="563"/>
      <c r="CX28" s="563"/>
    </row>
    <row r="29" spans="1:102" ht="12.75">
      <c r="A29" s="513" t="str">
        <f>'Country Information'!D$39</f>
        <v>Circumcision</v>
      </c>
      <c r="B29" s="458" t="str">
        <f>'Cost Inputs - Drug &amp; Supplies'!B70</f>
        <v>IV canula (Jelo radiopaque) 18 guage</v>
      </c>
      <c r="C29" s="514">
        <v>0</v>
      </c>
      <c r="D29" s="514"/>
      <c r="E29" s="493">
        <v>0</v>
      </c>
      <c r="F29" s="494">
        <v>1</v>
      </c>
      <c r="G29" s="494">
        <v>1</v>
      </c>
      <c r="H29" s="501">
        <f t="shared" si="0"/>
        <v>0</v>
      </c>
      <c r="I29" s="491">
        <f t="shared" si="1"/>
        <v>1.6666666666666665</v>
      </c>
      <c r="J29" s="491">
        <f t="shared" si="2"/>
        <v>0</v>
      </c>
      <c r="K29" s="491">
        <f t="shared" si="3"/>
        <v>0</v>
      </c>
      <c r="L29" s="155">
        <f t="shared" si="4"/>
        <v>0</v>
      </c>
      <c r="M29" s="338">
        <f t="shared" si="5"/>
        <v>0</v>
      </c>
      <c r="N29" s="155"/>
      <c r="O29" s="161"/>
      <c r="P29" s="157"/>
      <c r="Q29" s="125"/>
      <c r="R29" s="125"/>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row>
    <row r="30" spans="1:102" ht="12.75">
      <c r="A30" s="513" t="str">
        <f>'Country Information'!D$39</f>
        <v>Circumcision</v>
      </c>
      <c r="B30" s="452" t="str">
        <f>'Cost Inputs - Drug &amp; Supplies'!B19</f>
        <v>Glucose 5% in water + set, 500ml</v>
      </c>
      <c r="C30" s="488">
        <v>0</v>
      </c>
      <c r="D30" s="488">
        <v>0</v>
      </c>
      <c r="E30" s="493">
        <v>0</v>
      </c>
      <c r="F30" s="494">
        <v>1</v>
      </c>
      <c r="G30" s="494">
        <v>1</v>
      </c>
      <c r="H30" s="501">
        <f t="shared" si="0"/>
        <v>0</v>
      </c>
      <c r="I30" s="491">
        <f t="shared" si="1"/>
        <v>0.9562841530054644</v>
      </c>
      <c r="J30" s="491">
        <f t="shared" si="2"/>
        <v>0</v>
      </c>
      <c r="K30" s="491">
        <f t="shared" si="3"/>
        <v>0</v>
      </c>
      <c r="L30" s="155">
        <f t="shared" si="4"/>
        <v>0</v>
      </c>
      <c r="M30" s="338">
        <f t="shared" si="5"/>
        <v>0</v>
      </c>
      <c r="N30" s="162">
        <f>IF(VLOOKUP(B30,Drug_prices,7)="x",L30,0)</f>
        <v>0</v>
      </c>
      <c r="O30" s="156"/>
      <c r="P30" s="157"/>
      <c r="Q30" s="125"/>
      <c r="R30" s="125"/>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row>
    <row r="31" spans="1:102" ht="12.75">
      <c r="A31" s="513" t="str">
        <f>'Country Information'!D$39</f>
        <v>Circumcision</v>
      </c>
      <c r="B31" s="452" t="str">
        <f>'Cost Inputs - Drug &amp; Supplies'!B8</f>
        <v>Blade, 22, 23 or 24</v>
      </c>
      <c r="C31" s="514">
        <v>1</v>
      </c>
      <c r="D31" s="514">
        <v>0</v>
      </c>
      <c r="E31" s="493">
        <v>1</v>
      </c>
      <c r="F31" s="494">
        <v>1</v>
      </c>
      <c r="G31" s="494">
        <v>1</v>
      </c>
      <c r="H31" s="501">
        <f t="shared" si="0"/>
        <v>1</v>
      </c>
      <c r="I31" s="491">
        <f t="shared" si="1"/>
        <v>0.02459016393442623</v>
      </c>
      <c r="J31" s="491">
        <f t="shared" si="2"/>
        <v>0.02459016393442623</v>
      </c>
      <c r="K31" s="491">
        <f t="shared" si="3"/>
        <v>0.02459016393442623</v>
      </c>
      <c r="L31" s="155">
        <f t="shared" si="4"/>
        <v>0</v>
      </c>
      <c r="M31" s="338">
        <f t="shared" si="5"/>
        <v>0</v>
      </c>
      <c r="N31" s="155"/>
      <c r="O31" s="156"/>
      <c r="P31" s="157"/>
      <c r="Q31" s="125"/>
      <c r="R31" s="125"/>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row>
    <row r="32" spans="1:102" ht="12.75">
      <c r="A32" s="513" t="str">
        <f>'Country Information'!D$39</f>
        <v>Circumcision</v>
      </c>
      <c r="B32" s="455" t="str">
        <f>'Cost Inputs - Drug &amp; Supplies'!B38</f>
        <v>Suture, catgut chromic 3/0, 150cm</v>
      </c>
      <c r="C32" s="488">
        <v>0</v>
      </c>
      <c r="D32" s="488">
        <v>0</v>
      </c>
      <c r="E32" s="493">
        <v>0</v>
      </c>
      <c r="F32" s="494">
        <v>1</v>
      </c>
      <c r="G32" s="494">
        <v>1</v>
      </c>
      <c r="H32" s="501">
        <f t="shared" si="0"/>
        <v>0</v>
      </c>
      <c r="I32" s="491">
        <f t="shared" si="1"/>
        <v>7.2363387978142075</v>
      </c>
      <c r="J32" s="491">
        <f t="shared" si="2"/>
        <v>0</v>
      </c>
      <c r="K32" s="491">
        <f t="shared" si="3"/>
        <v>0</v>
      </c>
      <c r="L32" s="155">
        <f t="shared" si="4"/>
        <v>0</v>
      </c>
      <c r="M32" s="338">
        <f t="shared" si="5"/>
        <v>0</v>
      </c>
      <c r="N32" s="155">
        <f>IF(VLOOKUP(B32,Drug_prices,7)="x",L32,0)</f>
        <v>0</v>
      </c>
      <c r="O32" s="163"/>
      <c r="P32" s="157"/>
      <c r="Q32" s="125"/>
      <c r="R32" s="125"/>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row>
    <row r="33" spans="1:102" ht="12.75">
      <c r="A33" s="513" t="str">
        <f>'Country Information'!D$39</f>
        <v>Circumcision</v>
      </c>
      <c r="B33" s="455" t="str">
        <f>'Cost Inputs - Drug &amp; Supplies'!B37</f>
        <v>Suture, catgut chromic 4/0, 150cm</v>
      </c>
      <c r="C33" s="488">
        <v>1</v>
      </c>
      <c r="D33" s="488">
        <v>0</v>
      </c>
      <c r="E33" s="493">
        <v>1</v>
      </c>
      <c r="F33" s="494">
        <v>1</v>
      </c>
      <c r="G33" s="494">
        <v>1</v>
      </c>
      <c r="H33" s="501">
        <f t="shared" si="0"/>
        <v>1</v>
      </c>
      <c r="I33" s="491">
        <f t="shared" si="1"/>
        <v>0.6816939890710382</v>
      </c>
      <c r="J33" s="491">
        <f t="shared" si="2"/>
        <v>0.6816939890710382</v>
      </c>
      <c r="K33" s="491">
        <f t="shared" si="3"/>
        <v>0.6816939890710382</v>
      </c>
      <c r="L33" s="155">
        <f t="shared" si="4"/>
        <v>0</v>
      </c>
      <c r="M33" s="338">
        <f t="shared" si="5"/>
        <v>0</v>
      </c>
      <c r="N33" s="155">
        <f>IF(VLOOKUP(B33,Drug_prices,7)="x",L33,0)</f>
        <v>0</v>
      </c>
      <c r="O33" s="163"/>
      <c r="P33" s="157"/>
      <c r="Q33" s="125"/>
      <c r="R33" s="125"/>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row>
    <row r="34" spans="1:102" ht="12.75">
      <c r="A34" s="513" t="str">
        <f>'Country Information'!D$39</f>
        <v>Circumcision</v>
      </c>
      <c r="B34" s="455" t="str">
        <f>'Cost Inputs - Drug &amp; Supplies'!B40</f>
        <v>Suture, silk, 2 x 0.75m</v>
      </c>
      <c r="C34" s="488">
        <v>0</v>
      </c>
      <c r="D34" s="488">
        <v>0</v>
      </c>
      <c r="E34" s="493">
        <v>0</v>
      </c>
      <c r="F34" s="494">
        <v>1</v>
      </c>
      <c r="G34" s="494">
        <v>1</v>
      </c>
      <c r="H34" s="501">
        <f t="shared" si="0"/>
        <v>0</v>
      </c>
      <c r="I34" s="491">
        <f t="shared" si="1"/>
        <v>5.106557377049181</v>
      </c>
      <c r="J34" s="491">
        <f t="shared" si="2"/>
        <v>0</v>
      </c>
      <c r="K34" s="491">
        <f t="shared" si="3"/>
        <v>0</v>
      </c>
      <c r="L34" s="155">
        <f t="shared" si="4"/>
        <v>0</v>
      </c>
      <c r="M34" s="338">
        <f t="shared" si="5"/>
        <v>0</v>
      </c>
      <c r="N34" s="155">
        <f>IF(VLOOKUP(B34,Drug_prices,7)="x",L34,0)</f>
        <v>0</v>
      </c>
      <c r="O34" s="156"/>
      <c r="P34" s="157"/>
      <c r="Q34" s="125"/>
      <c r="R34" s="125"/>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3"/>
      <c r="CV34" s="563"/>
      <c r="CW34" s="563"/>
      <c r="CX34" s="563"/>
    </row>
    <row r="35" spans="1:102" ht="12.75">
      <c r="A35" s="513" t="str">
        <f>'Country Information'!D$39</f>
        <v>Circumcision</v>
      </c>
      <c r="B35" s="452" t="str">
        <f>'Cost Inputs - Drug &amp; Supplies'!B16</f>
        <v>Gauze pad, Jelonet (paraffine vaseline)</v>
      </c>
      <c r="C35" s="488">
        <v>0</v>
      </c>
      <c r="D35" s="488">
        <v>0</v>
      </c>
      <c r="E35" s="493">
        <v>0</v>
      </c>
      <c r="F35" s="494">
        <v>1</v>
      </c>
      <c r="G35" s="494">
        <v>1</v>
      </c>
      <c r="H35" s="501">
        <f t="shared" si="0"/>
        <v>0</v>
      </c>
      <c r="I35" s="491">
        <f t="shared" si="1"/>
        <v>0.17418032786885246</v>
      </c>
      <c r="J35" s="491">
        <f t="shared" si="2"/>
        <v>0</v>
      </c>
      <c r="K35" s="491">
        <f t="shared" si="3"/>
        <v>0</v>
      </c>
      <c r="L35" s="155">
        <f t="shared" si="4"/>
        <v>0</v>
      </c>
      <c r="M35" s="338">
        <f t="shared" si="5"/>
        <v>0</v>
      </c>
      <c r="N35" s="155"/>
      <c r="O35" s="156"/>
      <c r="P35" s="157"/>
      <c r="Q35" s="125"/>
      <c r="R35" s="125"/>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c r="CX35" s="563"/>
    </row>
    <row r="36" spans="1:102" ht="12.75">
      <c r="A36" s="513" t="str">
        <f>'Country Information'!D$39</f>
        <v>Circumcision</v>
      </c>
      <c r="B36" s="452" t="str">
        <f>'Cost Inputs - Drug &amp; Supplies'!B15</f>
        <v>Gauze pad, Inadine</v>
      </c>
      <c r="C36" s="488">
        <v>1</v>
      </c>
      <c r="D36" s="488">
        <v>0</v>
      </c>
      <c r="E36" s="493">
        <v>1</v>
      </c>
      <c r="F36" s="494">
        <v>1</v>
      </c>
      <c r="G36" s="494">
        <v>1</v>
      </c>
      <c r="H36" s="501">
        <f t="shared" si="0"/>
        <v>1</v>
      </c>
      <c r="I36" s="491">
        <f t="shared" si="1"/>
        <v>0.17418032786885246</v>
      </c>
      <c r="J36" s="491">
        <f t="shared" si="2"/>
        <v>0.17418032786885246</v>
      </c>
      <c r="K36" s="491">
        <f t="shared" si="3"/>
        <v>0.17418032786885246</v>
      </c>
      <c r="L36" s="155">
        <f t="shared" si="4"/>
        <v>0</v>
      </c>
      <c r="M36" s="338">
        <f t="shared" si="5"/>
        <v>0</v>
      </c>
      <c r="N36" s="155"/>
      <c r="O36" s="156"/>
      <c r="P36" s="157"/>
      <c r="Q36" s="125"/>
      <c r="R36" s="125"/>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63"/>
      <c r="CU36" s="563"/>
      <c r="CV36" s="563"/>
      <c r="CW36" s="563"/>
      <c r="CX36" s="563"/>
    </row>
    <row r="37" spans="1:102" ht="12.75">
      <c r="A37" s="513" t="str">
        <f>'Country Information'!D$39</f>
        <v>Circumcision</v>
      </c>
      <c r="B37" s="452" t="str">
        <f>'Cost Inputs - Drug &amp; Supplies'!B10</f>
        <v>Elastoplast/Dermaplast 25mm/9m</v>
      </c>
      <c r="C37" s="488">
        <v>0.5</v>
      </c>
      <c r="D37" s="488">
        <v>0</v>
      </c>
      <c r="E37" s="493">
        <v>10</v>
      </c>
      <c r="F37" s="494">
        <v>1</v>
      </c>
      <c r="G37" s="494">
        <v>1</v>
      </c>
      <c r="H37" s="501">
        <f t="shared" si="0"/>
        <v>10</v>
      </c>
      <c r="I37" s="491">
        <f t="shared" si="1"/>
        <v>0.17092896174863387</v>
      </c>
      <c r="J37" s="491">
        <f t="shared" si="2"/>
        <v>1.7092896174863386</v>
      </c>
      <c r="K37" s="491">
        <f t="shared" si="3"/>
        <v>0.8546448087431693</v>
      </c>
      <c r="L37" s="155">
        <f t="shared" si="4"/>
        <v>0</v>
      </c>
      <c r="M37" s="338">
        <f t="shared" si="5"/>
        <v>0</v>
      </c>
      <c r="N37" s="155"/>
      <c r="O37" s="156"/>
      <c r="P37" s="157"/>
      <c r="Q37" s="125"/>
      <c r="R37" s="125"/>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c r="CX37" s="563"/>
    </row>
    <row r="38" spans="1:102" ht="12.75">
      <c r="A38" s="513" t="str">
        <f>'Country Information'!D$39</f>
        <v>Circumcision</v>
      </c>
      <c r="B38" s="452" t="str">
        <f>'Cost Inputs - Drug &amp; Supplies'!B26</f>
        <v>Micropore</v>
      </c>
      <c r="C38" s="488">
        <v>0.5</v>
      </c>
      <c r="D38" s="488">
        <v>0</v>
      </c>
      <c r="E38" s="493">
        <v>10</v>
      </c>
      <c r="F38" s="494">
        <v>1</v>
      </c>
      <c r="G38" s="494">
        <v>1</v>
      </c>
      <c r="H38" s="501">
        <f t="shared" si="0"/>
        <v>10</v>
      </c>
      <c r="I38" s="491">
        <f t="shared" si="1"/>
        <v>0.17092896174863387</v>
      </c>
      <c r="J38" s="491">
        <f>H38*I38</f>
        <v>1.7092896174863386</v>
      </c>
      <c r="K38" s="491">
        <f>J38*C38</f>
        <v>0.8546448087431693</v>
      </c>
      <c r="L38" s="155">
        <f>J38*D38</f>
        <v>0</v>
      </c>
      <c r="M38" s="338">
        <f t="shared" si="5"/>
        <v>0</v>
      </c>
      <c r="N38" s="155"/>
      <c r="O38" s="156"/>
      <c r="P38" s="157"/>
      <c r="Q38" s="125"/>
      <c r="R38" s="125"/>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3"/>
      <c r="BW38" s="563"/>
      <c r="BX38" s="563"/>
      <c r="BY38" s="563"/>
      <c r="BZ38" s="563"/>
      <c r="CA38" s="563"/>
      <c r="CB38" s="563"/>
      <c r="CC38" s="563"/>
      <c r="CD38" s="563"/>
      <c r="CE38" s="563"/>
      <c r="CF38" s="563"/>
      <c r="CG38" s="563"/>
      <c r="CH38" s="563"/>
      <c r="CI38" s="563"/>
      <c r="CJ38" s="563"/>
      <c r="CK38" s="563"/>
      <c r="CL38" s="563"/>
      <c r="CM38" s="563"/>
      <c r="CN38" s="563"/>
      <c r="CO38" s="563"/>
      <c r="CP38" s="563"/>
      <c r="CQ38" s="563"/>
      <c r="CR38" s="563"/>
      <c r="CS38" s="563"/>
      <c r="CT38" s="563"/>
      <c r="CU38" s="563"/>
      <c r="CV38" s="563"/>
      <c r="CW38" s="563"/>
      <c r="CX38" s="563"/>
    </row>
    <row r="39" spans="1:102" ht="12.75">
      <c r="A39" s="513" t="str">
        <f>'Country Information'!D$39</f>
        <v>Circumcision</v>
      </c>
      <c r="B39" s="452" t="str">
        <f>'Cost Inputs - Drug &amp; Supplies'!B45</f>
        <v>Tegaderm (3M) 1624</v>
      </c>
      <c r="C39" s="488">
        <v>0</v>
      </c>
      <c r="D39" s="488">
        <v>0</v>
      </c>
      <c r="E39" s="493">
        <v>0</v>
      </c>
      <c r="F39" s="494">
        <v>1</v>
      </c>
      <c r="G39" s="494">
        <v>1</v>
      </c>
      <c r="H39" s="501">
        <f t="shared" si="0"/>
        <v>0</v>
      </c>
      <c r="I39" s="491">
        <f t="shared" si="1"/>
        <v>4.377049180327869</v>
      </c>
      <c r="J39" s="491">
        <f t="shared" si="2"/>
        <v>0</v>
      </c>
      <c r="K39" s="491">
        <f t="shared" si="3"/>
        <v>0</v>
      </c>
      <c r="L39" s="155">
        <f t="shared" si="4"/>
        <v>0</v>
      </c>
      <c r="M39" s="338">
        <f t="shared" si="5"/>
        <v>0</v>
      </c>
      <c r="N39" s="155"/>
      <c r="O39" s="156"/>
      <c r="P39" s="157"/>
      <c r="Q39" s="125"/>
      <c r="R39" s="125"/>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c r="CX39" s="563"/>
    </row>
    <row r="40" spans="1:102" ht="12.75">
      <c r="A40" s="513" t="str">
        <f>'Country Information'!D$39</f>
        <v>Circumcision</v>
      </c>
      <c r="B40" s="515" t="str">
        <f>'Cost Inputs - Drug &amp; Supplies'!B7</f>
        <v>Bandage (elastic)</v>
      </c>
      <c r="C40" s="488">
        <v>0.05</v>
      </c>
      <c r="D40" s="488">
        <v>0</v>
      </c>
      <c r="E40" s="493">
        <v>1</v>
      </c>
      <c r="F40" s="494">
        <v>1</v>
      </c>
      <c r="G40" s="494">
        <v>1</v>
      </c>
      <c r="H40" s="501">
        <f t="shared" si="0"/>
        <v>1</v>
      </c>
      <c r="I40" s="491">
        <f t="shared" si="1"/>
        <v>0.0557832422586521</v>
      </c>
      <c r="J40" s="491">
        <f t="shared" si="2"/>
        <v>0.0557832422586521</v>
      </c>
      <c r="K40" s="491">
        <f t="shared" si="3"/>
        <v>0.0027891621129326055</v>
      </c>
      <c r="L40" s="155">
        <f t="shared" si="4"/>
        <v>0</v>
      </c>
      <c r="M40" s="338">
        <f t="shared" si="5"/>
        <v>0</v>
      </c>
      <c r="N40" s="159"/>
      <c r="O40" s="156"/>
      <c r="P40" s="157"/>
      <c r="Q40" s="125"/>
      <c r="R40" s="125"/>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563"/>
      <c r="CB40" s="563"/>
      <c r="CC40" s="563"/>
      <c r="CD40" s="563"/>
      <c r="CE40" s="563"/>
      <c r="CF40" s="563"/>
      <c r="CG40" s="563"/>
      <c r="CH40" s="563"/>
      <c r="CI40" s="563"/>
      <c r="CJ40" s="563"/>
      <c r="CK40" s="563"/>
      <c r="CL40" s="563"/>
      <c r="CM40" s="563"/>
      <c r="CN40" s="563"/>
      <c r="CO40" s="563"/>
      <c r="CP40" s="563"/>
      <c r="CQ40" s="563"/>
      <c r="CR40" s="563"/>
      <c r="CS40" s="563"/>
      <c r="CT40" s="563"/>
      <c r="CU40" s="563"/>
      <c r="CV40" s="563"/>
      <c r="CW40" s="563"/>
      <c r="CX40" s="563"/>
    </row>
    <row r="41" spans="1:102" ht="12.75">
      <c r="A41" s="513" t="str">
        <f>'Country Information'!D$39</f>
        <v>Circumcision</v>
      </c>
      <c r="B41" s="455" t="str">
        <f>'Cost Inputs - Drug &amp; Supplies'!B23</f>
        <v>Iboprufen, Brufen 400mg</v>
      </c>
      <c r="C41" s="488">
        <v>0</v>
      </c>
      <c r="D41" s="488">
        <v>0</v>
      </c>
      <c r="E41" s="493">
        <v>1</v>
      </c>
      <c r="F41" s="494">
        <v>3</v>
      </c>
      <c r="G41" s="494">
        <v>5</v>
      </c>
      <c r="H41" s="501">
        <f t="shared" si="0"/>
        <v>15</v>
      </c>
      <c r="I41" s="491">
        <f t="shared" si="1"/>
        <v>0</v>
      </c>
      <c r="J41" s="491">
        <f t="shared" si="2"/>
        <v>0</v>
      </c>
      <c r="K41" s="491">
        <f t="shared" si="3"/>
        <v>0</v>
      </c>
      <c r="L41" s="155">
        <f t="shared" si="4"/>
        <v>0</v>
      </c>
      <c r="M41" s="338">
        <f t="shared" si="5"/>
        <v>0</v>
      </c>
      <c r="N41" s="155"/>
      <c r="O41" s="156"/>
      <c r="P41" s="157"/>
      <c r="Q41" s="125"/>
      <c r="R41" s="125"/>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row>
    <row r="42" spans="1:102" ht="12.75">
      <c r="A42" s="513" t="str">
        <f>'Country Information'!D$39</f>
        <v>Circumcision</v>
      </c>
      <c r="B42" s="452" t="str">
        <f>'Cost Inputs - Drug &amp; Supplies'!B30</f>
        <v>Paracetamol, tablets 500mg</v>
      </c>
      <c r="C42" s="488">
        <v>1</v>
      </c>
      <c r="D42" s="488">
        <v>0</v>
      </c>
      <c r="E42" s="493">
        <v>1</v>
      </c>
      <c r="F42" s="494">
        <v>3</v>
      </c>
      <c r="G42" s="494">
        <v>7</v>
      </c>
      <c r="H42" s="501">
        <f t="shared" si="0"/>
        <v>21</v>
      </c>
      <c r="I42" s="491">
        <f t="shared" si="1"/>
        <v>0.03913934426229508</v>
      </c>
      <c r="J42" s="491">
        <f t="shared" si="2"/>
        <v>0.8219262295081967</v>
      </c>
      <c r="K42" s="491">
        <f t="shared" si="3"/>
        <v>0.8219262295081967</v>
      </c>
      <c r="L42" s="155">
        <f t="shared" si="4"/>
        <v>0</v>
      </c>
      <c r="M42" s="338">
        <f t="shared" si="5"/>
        <v>0</v>
      </c>
      <c r="N42" s="155">
        <f>IF(VLOOKUP(B42,Drug_prices,7)="x",L42,0)</f>
        <v>0</v>
      </c>
      <c r="O42" s="156"/>
      <c r="P42" s="157"/>
      <c r="Q42" s="125"/>
      <c r="R42" s="125"/>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c r="BT42" s="563"/>
      <c r="BU42" s="563"/>
      <c r="BV42" s="563"/>
      <c r="BW42" s="563"/>
      <c r="BX42" s="563"/>
      <c r="BY42" s="563"/>
      <c r="BZ42" s="563"/>
      <c r="CA42" s="563"/>
      <c r="CB42" s="563"/>
      <c r="CC42" s="563"/>
      <c r="CD42" s="563"/>
      <c r="CE42" s="563"/>
      <c r="CF42" s="563"/>
      <c r="CG42" s="563"/>
      <c r="CH42" s="563"/>
      <c r="CI42" s="563"/>
      <c r="CJ42" s="563"/>
      <c r="CK42" s="563"/>
      <c r="CL42" s="563"/>
      <c r="CM42" s="563"/>
      <c r="CN42" s="563"/>
      <c r="CO42" s="563"/>
      <c r="CP42" s="563"/>
      <c r="CQ42" s="563"/>
      <c r="CR42" s="563"/>
      <c r="CS42" s="563"/>
      <c r="CT42" s="563"/>
      <c r="CU42" s="563"/>
      <c r="CV42" s="563"/>
      <c r="CW42" s="563"/>
      <c r="CX42" s="563"/>
    </row>
    <row r="43" spans="1:102" ht="12.75">
      <c r="A43" s="513" t="str">
        <f>'Country Information'!D$39</f>
        <v>Circumcision</v>
      </c>
      <c r="B43" s="455" t="str">
        <f>'Cost Inputs - Drug &amp; Supplies'!B5</f>
        <v>Amoxycillin, 500mg</v>
      </c>
      <c r="C43" s="488">
        <v>0</v>
      </c>
      <c r="D43" s="488">
        <v>0</v>
      </c>
      <c r="E43" s="493">
        <v>0</v>
      </c>
      <c r="F43" s="494">
        <v>3</v>
      </c>
      <c r="G43" s="494">
        <v>7</v>
      </c>
      <c r="H43" s="501">
        <f t="shared" si="0"/>
        <v>0</v>
      </c>
      <c r="I43" s="491">
        <f t="shared" si="1"/>
        <v>0.014401639344262295</v>
      </c>
      <c r="J43" s="491">
        <f t="shared" si="2"/>
        <v>0</v>
      </c>
      <c r="K43" s="491">
        <f t="shared" si="3"/>
        <v>0</v>
      </c>
      <c r="L43" s="155">
        <f t="shared" si="4"/>
        <v>0</v>
      </c>
      <c r="M43" s="338">
        <f t="shared" si="5"/>
        <v>0</v>
      </c>
      <c r="N43" s="155"/>
      <c r="O43" s="156"/>
      <c r="P43" s="157"/>
      <c r="Q43" s="125"/>
      <c r="R43" s="125"/>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c r="CX43" s="563"/>
    </row>
    <row r="44" spans="1:102" s="235" customFormat="1" ht="12.75">
      <c r="A44" s="513" t="str">
        <f>'Country Information'!D$39</f>
        <v>Circumcision</v>
      </c>
      <c r="B44" s="455" t="str">
        <f>'Cost Inputs - Drug &amp; Supplies'!B9</f>
        <v>Cloxacillin, 500mg</v>
      </c>
      <c r="C44" s="488">
        <v>0</v>
      </c>
      <c r="D44" s="488">
        <v>0</v>
      </c>
      <c r="E44" s="493">
        <v>0</v>
      </c>
      <c r="F44" s="494">
        <v>4</v>
      </c>
      <c r="G44" s="494">
        <v>7</v>
      </c>
      <c r="H44" s="501">
        <f t="shared" si="0"/>
        <v>0</v>
      </c>
      <c r="I44" s="491">
        <f t="shared" si="1"/>
        <v>0.038819672131147544</v>
      </c>
      <c r="J44" s="491">
        <f t="shared" si="2"/>
        <v>0</v>
      </c>
      <c r="K44" s="491">
        <f t="shared" si="3"/>
        <v>0</v>
      </c>
      <c r="L44" s="146">
        <f t="shared" si="4"/>
        <v>0</v>
      </c>
      <c r="M44" s="338">
        <f t="shared" si="5"/>
        <v>0</v>
      </c>
      <c r="N44" s="146"/>
      <c r="O44" s="147"/>
      <c r="P44" s="164"/>
      <c r="AL44" s="563"/>
      <c r="AM44" s="563"/>
      <c r="AN44" s="563"/>
      <c r="AO44" s="563"/>
      <c r="AP44" s="563"/>
      <c r="AQ44" s="563"/>
      <c r="AR44" s="563"/>
      <c r="AS44" s="563"/>
      <c r="AT44" s="563"/>
      <c r="AU44" s="563"/>
      <c r="AV44" s="563"/>
      <c r="AW44" s="563"/>
      <c r="AX44" s="563"/>
      <c r="AY44" s="563"/>
      <c r="AZ44" s="563"/>
      <c r="BA44" s="563"/>
      <c r="BB44" s="563"/>
      <c r="BC44" s="563"/>
      <c r="BD44" s="563"/>
      <c r="BE44" s="563"/>
      <c r="BF44" s="563"/>
      <c r="BG44" s="563"/>
      <c r="BH44" s="563"/>
      <c r="BI44" s="563"/>
      <c r="BJ44" s="563"/>
      <c r="BK44" s="563"/>
      <c r="BL44" s="563"/>
      <c r="BM44" s="563"/>
      <c r="BN44" s="563"/>
      <c r="BO44" s="563"/>
      <c r="BP44" s="563"/>
      <c r="BQ44" s="563"/>
      <c r="BR44" s="563"/>
      <c r="BS44" s="563"/>
      <c r="BT44" s="563"/>
      <c r="BU44" s="563"/>
      <c r="BV44" s="563"/>
      <c r="BW44" s="563"/>
      <c r="BX44" s="563"/>
      <c r="BY44" s="563"/>
      <c r="BZ44" s="563"/>
      <c r="CA44" s="563"/>
      <c r="CB44" s="563"/>
      <c r="CC44" s="563"/>
      <c r="CD44" s="563"/>
      <c r="CE44" s="563"/>
      <c r="CF44" s="563"/>
      <c r="CG44" s="563"/>
      <c r="CH44" s="563"/>
      <c r="CI44" s="563"/>
      <c r="CJ44" s="563"/>
      <c r="CK44" s="563"/>
      <c r="CL44" s="563"/>
      <c r="CM44" s="563"/>
      <c r="CN44" s="563"/>
      <c r="CO44" s="563"/>
      <c r="CP44" s="563"/>
      <c r="CQ44" s="563"/>
      <c r="CR44" s="563"/>
      <c r="CS44" s="563"/>
      <c r="CT44" s="563"/>
      <c r="CU44" s="563"/>
      <c r="CV44" s="563"/>
      <c r="CW44" s="563"/>
      <c r="CX44" s="563"/>
    </row>
    <row r="45" spans="1:102" s="126" customFormat="1" ht="12.75">
      <c r="A45" s="361" t="s">
        <v>298</v>
      </c>
      <c r="B45" s="154"/>
      <c r="C45" s="519"/>
      <c r="D45" s="274"/>
      <c r="E45" s="275"/>
      <c r="F45" s="276"/>
      <c r="G45" s="276"/>
      <c r="H45" s="520"/>
      <c r="I45" s="521"/>
      <c r="J45" s="521"/>
      <c r="K45" s="522"/>
      <c r="L45" s="155"/>
      <c r="M45" s="338"/>
      <c r="N45" s="155"/>
      <c r="O45" s="156"/>
      <c r="P45" s="157"/>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c r="CX45" s="563"/>
    </row>
    <row r="46" spans="1:102" s="126" customFormat="1" ht="12.75" customHeight="1">
      <c r="A46" s="513" t="str">
        <f>$A$45</f>
        <v>Neonatal Circumcision</v>
      </c>
      <c r="B46" s="455" t="str">
        <f>'Cost Inputs - Drug &amp; Supplies'!B17</f>
        <v>Gloves, surgeons, sterile disposable, pair</v>
      </c>
      <c r="C46" s="488">
        <v>1</v>
      </c>
      <c r="D46" s="488">
        <v>0</v>
      </c>
      <c r="E46" s="489">
        <v>4</v>
      </c>
      <c r="F46" s="490">
        <v>1</v>
      </c>
      <c r="G46" s="490">
        <v>1</v>
      </c>
      <c r="H46" s="501">
        <f aca="true" t="shared" si="6" ref="H46:H78">E46*F46*G46</f>
        <v>4</v>
      </c>
      <c r="I46" s="491">
        <f aca="true" t="shared" si="7" ref="I46:I78">VLOOKUP(B46,Drug_prices,9,FALSE)</f>
        <v>0.20765027322404372</v>
      </c>
      <c r="J46" s="492">
        <f aca="true" t="shared" si="8" ref="J46:J78">H46*I46</f>
        <v>0.8306010928961749</v>
      </c>
      <c r="K46" s="492">
        <f aca="true" t="shared" si="9" ref="K46:K78">J46*C46</f>
        <v>0.8306010928961749</v>
      </c>
      <c r="L46" s="155"/>
      <c r="M46" s="338"/>
      <c r="N46" s="155"/>
      <c r="O46" s="156"/>
      <c r="P46" s="157"/>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c r="CN46" s="563"/>
      <c r="CO46" s="563"/>
      <c r="CP46" s="563"/>
      <c r="CQ46" s="563"/>
      <c r="CR46" s="563"/>
      <c r="CS46" s="563"/>
      <c r="CT46" s="563"/>
      <c r="CU46" s="563"/>
      <c r="CV46" s="563"/>
      <c r="CW46" s="563"/>
      <c r="CX46" s="563"/>
    </row>
    <row r="47" spans="1:102" s="126" customFormat="1" ht="12.75">
      <c r="A47" s="513" t="str">
        <f aca="true" t="shared" si="10" ref="A47:A78">$A$45</f>
        <v>Neonatal Circumcision</v>
      </c>
      <c r="B47" s="455" t="str">
        <f>'Cost Inputs - Drug &amp; Supplies'!B18</f>
        <v>Gloves, examination, non-sterile, disposable, pair</v>
      </c>
      <c r="C47" s="488">
        <v>1</v>
      </c>
      <c r="D47" s="488">
        <v>0</v>
      </c>
      <c r="E47" s="493">
        <v>2</v>
      </c>
      <c r="F47" s="494">
        <v>1</v>
      </c>
      <c r="G47" s="494">
        <v>1</v>
      </c>
      <c r="H47" s="501">
        <f t="shared" si="6"/>
        <v>2</v>
      </c>
      <c r="I47" s="491">
        <f t="shared" si="7"/>
        <v>0.05163934426229508</v>
      </c>
      <c r="J47" s="492">
        <f t="shared" si="8"/>
        <v>0.10327868852459016</v>
      </c>
      <c r="K47" s="492">
        <f t="shared" si="9"/>
        <v>0.10327868852459016</v>
      </c>
      <c r="L47" s="155"/>
      <c r="M47" s="338"/>
      <c r="N47" s="155"/>
      <c r="O47" s="156"/>
      <c r="P47" s="157"/>
      <c r="AL47" s="563"/>
      <c r="AM47" s="563"/>
      <c r="AN47" s="563"/>
      <c r="AO47" s="563"/>
      <c r="AP47" s="563"/>
      <c r="AQ47" s="563"/>
      <c r="AR47" s="563"/>
      <c r="AS47" s="563"/>
      <c r="AT47" s="563"/>
      <c r="AU47" s="563"/>
      <c r="AV47" s="563"/>
      <c r="AW47" s="563"/>
      <c r="AX47" s="563"/>
      <c r="AY47" s="563"/>
      <c r="AZ47" s="563"/>
      <c r="BA47" s="563"/>
      <c r="BB47" s="563"/>
      <c r="BC47" s="563"/>
      <c r="BD47" s="563"/>
      <c r="BE47" s="563"/>
      <c r="BF47" s="563"/>
      <c r="BG47" s="563"/>
      <c r="BH47" s="563"/>
      <c r="BI47" s="563"/>
      <c r="BJ47" s="563"/>
      <c r="BK47" s="563"/>
      <c r="BL47" s="563"/>
      <c r="BM47" s="563"/>
      <c r="BN47" s="563"/>
      <c r="BO47" s="563"/>
      <c r="BP47" s="563"/>
      <c r="BQ47" s="563"/>
      <c r="BR47" s="563"/>
      <c r="BS47" s="563"/>
      <c r="BT47" s="563"/>
      <c r="BU47" s="563"/>
      <c r="BV47" s="563"/>
      <c r="BW47" s="563"/>
      <c r="BX47" s="563"/>
      <c r="BY47" s="563"/>
      <c r="BZ47" s="563"/>
      <c r="CA47" s="563"/>
      <c r="CB47" s="563"/>
      <c r="CC47" s="563"/>
      <c r="CD47" s="563"/>
      <c r="CE47" s="563"/>
      <c r="CF47" s="563"/>
      <c r="CG47" s="563"/>
      <c r="CH47" s="563"/>
      <c r="CI47" s="563"/>
      <c r="CJ47" s="563"/>
      <c r="CK47" s="563"/>
      <c r="CL47" s="563"/>
      <c r="CM47" s="563"/>
      <c r="CN47" s="563"/>
      <c r="CO47" s="563"/>
      <c r="CP47" s="563"/>
      <c r="CQ47" s="563"/>
      <c r="CR47" s="563"/>
      <c r="CS47" s="563"/>
      <c r="CT47" s="563"/>
      <c r="CU47" s="563"/>
      <c r="CV47" s="563"/>
      <c r="CW47" s="563"/>
      <c r="CX47" s="563"/>
    </row>
    <row r="48" spans="1:102" s="126" customFormat="1" ht="12.75">
      <c r="A48" s="513" t="str">
        <f t="shared" si="10"/>
        <v>Neonatal Circumcision</v>
      </c>
      <c r="B48" s="455" t="str">
        <f>'Cost Inputs - Drug &amp; Supplies'!B29</f>
        <v>Surgical Mask</v>
      </c>
      <c r="C48" s="488">
        <v>1</v>
      </c>
      <c r="D48" s="488">
        <v>0</v>
      </c>
      <c r="E48" s="493">
        <v>3</v>
      </c>
      <c r="F48" s="494">
        <v>1</v>
      </c>
      <c r="G48" s="494">
        <v>1</v>
      </c>
      <c r="H48" s="501">
        <f t="shared" si="6"/>
        <v>3</v>
      </c>
      <c r="I48" s="491">
        <f t="shared" si="7"/>
        <v>0.03551912568306011</v>
      </c>
      <c r="J48" s="492">
        <f t="shared" si="8"/>
        <v>0.10655737704918032</v>
      </c>
      <c r="K48" s="492">
        <f t="shared" si="9"/>
        <v>0.10655737704918032</v>
      </c>
      <c r="L48" s="155"/>
      <c r="M48" s="338"/>
      <c r="N48" s="155"/>
      <c r="O48" s="156"/>
      <c r="P48" s="157"/>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row>
    <row r="49" spans="1:102" s="126" customFormat="1" ht="12.75">
      <c r="A49" s="513" t="str">
        <f t="shared" si="10"/>
        <v>Neonatal Circumcision</v>
      </c>
      <c r="B49" s="455" t="str">
        <f>'Cost Inputs - Drug &amp; Supplies'!B35</f>
        <v>Surgical cap (disposable)</v>
      </c>
      <c r="C49" s="488">
        <v>1</v>
      </c>
      <c r="D49" s="488">
        <v>0</v>
      </c>
      <c r="E49" s="493">
        <v>3</v>
      </c>
      <c r="F49" s="494">
        <v>1</v>
      </c>
      <c r="G49" s="494">
        <v>1</v>
      </c>
      <c r="H49" s="501">
        <f t="shared" si="6"/>
        <v>3</v>
      </c>
      <c r="I49" s="491">
        <f t="shared" si="7"/>
        <v>0.3251366120218579</v>
      </c>
      <c r="J49" s="492">
        <f t="shared" si="8"/>
        <v>0.9754098360655736</v>
      </c>
      <c r="K49" s="492">
        <f t="shared" si="9"/>
        <v>0.9754098360655736</v>
      </c>
      <c r="L49" s="155"/>
      <c r="M49" s="338"/>
      <c r="N49" s="155"/>
      <c r="O49" s="156"/>
      <c r="P49" s="157"/>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row>
    <row r="50" spans="1:102" s="126" customFormat="1" ht="12.75">
      <c r="A50" s="513" t="str">
        <f t="shared" si="10"/>
        <v>Neonatal Circumcision</v>
      </c>
      <c r="B50" s="455" t="str">
        <f>'Cost Inputs - Drug &amp; Supplies'!B20</f>
        <v>Goggles (for surgery)</v>
      </c>
      <c r="C50" s="488">
        <v>0</v>
      </c>
      <c r="D50" s="488">
        <v>0</v>
      </c>
      <c r="E50" s="493">
        <v>0</v>
      </c>
      <c r="F50" s="494">
        <v>1</v>
      </c>
      <c r="G50" s="494">
        <v>1</v>
      </c>
      <c r="H50" s="501">
        <f t="shared" si="6"/>
        <v>0</v>
      </c>
      <c r="I50" s="491">
        <f t="shared" si="7"/>
        <v>0</v>
      </c>
      <c r="J50" s="492">
        <f t="shared" si="8"/>
        <v>0</v>
      </c>
      <c r="K50" s="492">
        <f t="shared" si="9"/>
        <v>0</v>
      </c>
      <c r="L50" s="155"/>
      <c r="M50" s="338"/>
      <c r="N50" s="155"/>
      <c r="O50" s="156"/>
      <c r="P50" s="157"/>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row>
    <row r="51" spans="1:102" s="126" customFormat="1" ht="12.75">
      <c r="A51" s="513" t="str">
        <f t="shared" si="10"/>
        <v>Neonatal Circumcision</v>
      </c>
      <c r="B51" s="455" t="str">
        <f>'Cost Inputs - Drug &amp; Supplies'!B36</f>
        <v>Surgical scrub Betadine</v>
      </c>
      <c r="C51" s="488">
        <v>1</v>
      </c>
      <c r="D51" s="488">
        <v>0</v>
      </c>
      <c r="E51" s="493">
        <f>2*15</f>
        <v>30</v>
      </c>
      <c r="F51" s="494">
        <v>1</v>
      </c>
      <c r="G51" s="494">
        <v>1</v>
      </c>
      <c r="H51" s="501">
        <f t="shared" si="6"/>
        <v>30</v>
      </c>
      <c r="I51" s="491">
        <f t="shared" si="7"/>
        <v>0.018442622950819672</v>
      </c>
      <c r="J51" s="492">
        <f t="shared" si="8"/>
        <v>0.5532786885245902</v>
      </c>
      <c r="K51" s="492">
        <f t="shared" si="9"/>
        <v>0.5532786885245902</v>
      </c>
      <c r="L51" s="155"/>
      <c r="M51" s="338"/>
      <c r="N51" s="155"/>
      <c r="O51" s="156"/>
      <c r="P51" s="157"/>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c r="BY51" s="563"/>
      <c r="BZ51" s="563"/>
      <c r="CA51" s="563"/>
      <c r="CB51" s="563"/>
      <c r="CC51" s="563"/>
      <c r="CD51" s="563"/>
      <c r="CE51" s="563"/>
      <c r="CF51" s="563"/>
      <c r="CG51" s="563"/>
      <c r="CH51" s="563"/>
      <c r="CI51" s="563"/>
      <c r="CJ51" s="563"/>
      <c r="CK51" s="563"/>
      <c r="CL51" s="563"/>
      <c r="CM51" s="563"/>
      <c r="CN51" s="563"/>
      <c r="CO51" s="563"/>
      <c r="CP51" s="563"/>
      <c r="CQ51" s="563"/>
      <c r="CR51" s="563"/>
      <c r="CS51" s="563"/>
      <c r="CT51" s="563"/>
      <c r="CU51" s="563"/>
      <c r="CV51" s="563"/>
      <c r="CW51" s="563"/>
      <c r="CX51" s="563"/>
    </row>
    <row r="52" spans="1:102" s="126" customFormat="1" ht="12.75">
      <c r="A52" s="513" t="str">
        <f t="shared" si="10"/>
        <v>Neonatal Circumcision</v>
      </c>
      <c r="B52" s="455" t="str">
        <f>'Cost Inputs - Drug &amp; Supplies'!B21</f>
        <v>Hibiscrub</v>
      </c>
      <c r="C52" s="488">
        <v>0</v>
      </c>
      <c r="D52" s="488">
        <v>0</v>
      </c>
      <c r="E52" s="493">
        <v>0</v>
      </c>
      <c r="F52" s="494">
        <v>1</v>
      </c>
      <c r="G52" s="494">
        <v>1</v>
      </c>
      <c r="H52" s="501">
        <f t="shared" si="6"/>
        <v>0</v>
      </c>
      <c r="I52" s="491">
        <f t="shared" si="7"/>
        <v>0.0036885245901639345</v>
      </c>
      <c r="J52" s="492">
        <f t="shared" si="8"/>
        <v>0</v>
      </c>
      <c r="K52" s="492">
        <f t="shared" si="9"/>
        <v>0</v>
      </c>
      <c r="L52" s="155"/>
      <c r="M52" s="338"/>
      <c r="N52" s="155"/>
      <c r="O52" s="156"/>
      <c r="P52" s="157"/>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563"/>
      <c r="BT52" s="563"/>
      <c r="BU52" s="563"/>
      <c r="BV52" s="563"/>
      <c r="BW52" s="563"/>
      <c r="BX52" s="563"/>
      <c r="BY52" s="563"/>
      <c r="BZ52" s="563"/>
      <c r="CA52" s="563"/>
      <c r="CB52" s="563"/>
      <c r="CC52" s="563"/>
      <c r="CD52" s="563"/>
      <c r="CE52" s="563"/>
      <c r="CF52" s="563"/>
      <c r="CG52" s="563"/>
      <c r="CH52" s="563"/>
      <c r="CI52" s="563"/>
      <c r="CJ52" s="563"/>
      <c r="CK52" s="563"/>
      <c r="CL52" s="563"/>
      <c r="CM52" s="563"/>
      <c r="CN52" s="563"/>
      <c r="CO52" s="563"/>
      <c r="CP52" s="563"/>
      <c r="CQ52" s="563"/>
      <c r="CR52" s="563"/>
      <c r="CS52" s="563"/>
      <c r="CT52" s="563"/>
      <c r="CU52" s="563"/>
      <c r="CV52" s="563"/>
      <c r="CW52" s="563"/>
      <c r="CX52" s="563"/>
    </row>
    <row r="53" spans="1:102" s="126" customFormat="1" ht="12.75">
      <c r="A53" s="513" t="str">
        <f t="shared" si="10"/>
        <v>Neonatal Circumcision</v>
      </c>
      <c r="B53" s="455" t="str">
        <f>'Cost Inputs - Drug &amp; Supplies'!B34</f>
        <v>Salvalon</v>
      </c>
      <c r="C53" s="488">
        <v>0</v>
      </c>
      <c r="D53" s="488">
        <v>0</v>
      </c>
      <c r="E53" s="493">
        <v>0</v>
      </c>
      <c r="F53" s="494">
        <v>1</v>
      </c>
      <c r="G53" s="494">
        <v>1</v>
      </c>
      <c r="H53" s="501">
        <f t="shared" si="6"/>
        <v>0</v>
      </c>
      <c r="I53" s="491">
        <f t="shared" si="7"/>
        <v>0.005456967213114754</v>
      </c>
      <c r="J53" s="492">
        <f t="shared" si="8"/>
        <v>0</v>
      </c>
      <c r="K53" s="492">
        <f t="shared" si="9"/>
        <v>0</v>
      </c>
      <c r="L53" s="155"/>
      <c r="M53" s="338"/>
      <c r="N53" s="155"/>
      <c r="O53" s="156"/>
      <c r="P53" s="157"/>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563"/>
      <c r="BZ53" s="563"/>
      <c r="CA53" s="563"/>
      <c r="CB53" s="563"/>
      <c r="CC53" s="563"/>
      <c r="CD53" s="563"/>
      <c r="CE53" s="563"/>
      <c r="CF53" s="563"/>
      <c r="CG53" s="563"/>
      <c r="CH53" s="563"/>
      <c r="CI53" s="563"/>
      <c r="CJ53" s="563"/>
      <c r="CK53" s="563"/>
      <c r="CL53" s="563"/>
      <c r="CM53" s="563"/>
      <c r="CN53" s="563"/>
      <c r="CO53" s="563"/>
      <c r="CP53" s="563"/>
      <c r="CQ53" s="563"/>
      <c r="CR53" s="563"/>
      <c r="CS53" s="563"/>
      <c r="CT53" s="563"/>
      <c r="CU53" s="563"/>
      <c r="CV53" s="563"/>
      <c r="CW53" s="563"/>
      <c r="CX53" s="563"/>
    </row>
    <row r="54" spans="1:102" s="126" customFormat="1" ht="12.75">
      <c r="A54" s="513" t="str">
        <f t="shared" si="10"/>
        <v>Neonatal Circumcision</v>
      </c>
      <c r="B54" s="455" t="str">
        <f>'Cost Inputs - Drug &amp; Supplies'!B32</f>
        <v>Povidone antiseptic solution </v>
      </c>
      <c r="C54" s="488">
        <v>1</v>
      </c>
      <c r="D54" s="488">
        <v>0</v>
      </c>
      <c r="E54" s="493">
        <v>40</v>
      </c>
      <c r="F54" s="494">
        <v>1</v>
      </c>
      <c r="G54" s="494">
        <v>1</v>
      </c>
      <c r="H54" s="501">
        <f t="shared" si="6"/>
        <v>40</v>
      </c>
      <c r="I54" s="491">
        <f t="shared" si="7"/>
        <v>0.0036885245901639345</v>
      </c>
      <c r="J54" s="492">
        <f t="shared" si="8"/>
        <v>0.14754098360655737</v>
      </c>
      <c r="K54" s="492">
        <f t="shared" si="9"/>
        <v>0.14754098360655737</v>
      </c>
      <c r="L54" s="155"/>
      <c r="M54" s="338"/>
      <c r="N54" s="155"/>
      <c r="O54" s="156"/>
      <c r="P54" s="157"/>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c r="BN54" s="563"/>
      <c r="BO54" s="563"/>
      <c r="BP54" s="563"/>
      <c r="BQ54" s="563"/>
      <c r="BR54" s="563"/>
      <c r="BS54" s="563"/>
      <c r="BT54" s="563"/>
      <c r="BU54" s="563"/>
      <c r="BV54" s="563"/>
      <c r="BW54" s="563"/>
      <c r="BX54" s="563"/>
      <c r="BY54" s="563"/>
      <c r="BZ54" s="563"/>
      <c r="CA54" s="563"/>
      <c r="CB54" s="563"/>
      <c r="CC54" s="563"/>
      <c r="CD54" s="563"/>
      <c r="CE54" s="563"/>
      <c r="CF54" s="563"/>
      <c r="CG54" s="563"/>
      <c r="CH54" s="563"/>
      <c r="CI54" s="563"/>
      <c r="CJ54" s="563"/>
      <c r="CK54" s="563"/>
      <c r="CL54" s="563"/>
      <c r="CM54" s="563"/>
      <c r="CN54" s="563"/>
      <c r="CO54" s="563"/>
      <c r="CP54" s="563"/>
      <c r="CQ54" s="563"/>
      <c r="CR54" s="563"/>
      <c r="CS54" s="563"/>
      <c r="CT54" s="563"/>
      <c r="CU54" s="563"/>
      <c r="CV54" s="563"/>
      <c r="CW54" s="563"/>
      <c r="CX54" s="563"/>
    </row>
    <row r="55" spans="1:102" s="126" customFormat="1" ht="12.75">
      <c r="A55" s="513" t="str">
        <f t="shared" si="10"/>
        <v>Neonatal Circumcision</v>
      </c>
      <c r="B55" s="455" t="str">
        <f>'Cost Inputs - Drug &amp; Supplies'!B13</f>
        <v>Gauze pad, sterile, 8ply 100x100mm</v>
      </c>
      <c r="C55" s="488">
        <v>0</v>
      </c>
      <c r="D55" s="488">
        <v>0</v>
      </c>
      <c r="E55" s="493">
        <v>12</v>
      </c>
      <c r="F55" s="494">
        <v>1</v>
      </c>
      <c r="G55" s="494">
        <v>1</v>
      </c>
      <c r="H55" s="501">
        <f t="shared" si="6"/>
        <v>12</v>
      </c>
      <c r="I55" s="491">
        <f t="shared" si="7"/>
        <v>0.006475409836065574</v>
      </c>
      <c r="J55" s="492">
        <f t="shared" si="8"/>
        <v>0.0777049180327869</v>
      </c>
      <c r="K55" s="492">
        <f t="shared" si="9"/>
        <v>0</v>
      </c>
      <c r="L55" s="155"/>
      <c r="M55" s="338"/>
      <c r="N55" s="155"/>
      <c r="O55" s="156"/>
      <c r="P55" s="157"/>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c r="BK55" s="563"/>
      <c r="BL55" s="563"/>
      <c r="BM55" s="563"/>
      <c r="BN55" s="563"/>
      <c r="BO55" s="563"/>
      <c r="BP55" s="563"/>
      <c r="BQ55" s="563"/>
      <c r="BR55" s="563"/>
      <c r="BS55" s="563"/>
      <c r="BT55" s="563"/>
      <c r="BU55" s="563"/>
      <c r="BV55" s="563"/>
      <c r="BW55" s="563"/>
      <c r="BX55" s="563"/>
      <c r="BY55" s="563"/>
      <c r="BZ55" s="563"/>
      <c r="CA55" s="563"/>
      <c r="CB55" s="563"/>
      <c r="CC55" s="563"/>
      <c r="CD55" s="563"/>
      <c r="CE55" s="563"/>
      <c r="CF55" s="563"/>
      <c r="CG55" s="563"/>
      <c r="CH55" s="563"/>
      <c r="CI55" s="563"/>
      <c r="CJ55" s="563"/>
      <c r="CK55" s="563"/>
      <c r="CL55" s="563"/>
      <c r="CM55" s="563"/>
      <c r="CN55" s="563"/>
      <c r="CO55" s="563"/>
      <c r="CP55" s="563"/>
      <c r="CQ55" s="563"/>
      <c r="CR55" s="563"/>
      <c r="CS55" s="563"/>
      <c r="CT55" s="563"/>
      <c r="CU55" s="563"/>
      <c r="CV55" s="563"/>
      <c r="CW55" s="563"/>
      <c r="CX55" s="563"/>
    </row>
    <row r="56" spans="1:102" s="126" customFormat="1" ht="12.75">
      <c r="A56" s="513" t="str">
        <f t="shared" si="10"/>
        <v>Neonatal Circumcision</v>
      </c>
      <c r="B56" s="455" t="str">
        <f>'Cost Inputs - Drug &amp; Supplies'!B14</f>
        <v>Gauze pad, sterile, 12ply 76x76mm</v>
      </c>
      <c r="C56" s="514">
        <v>0</v>
      </c>
      <c r="D56" s="514">
        <v>0</v>
      </c>
      <c r="E56" s="489">
        <v>0</v>
      </c>
      <c r="F56" s="490">
        <v>1</v>
      </c>
      <c r="G56" s="490">
        <v>1</v>
      </c>
      <c r="H56" s="501">
        <f t="shared" si="6"/>
        <v>0</v>
      </c>
      <c r="I56" s="491">
        <f t="shared" si="7"/>
        <v>0.006475409836065574</v>
      </c>
      <c r="J56" s="492">
        <f t="shared" si="8"/>
        <v>0</v>
      </c>
      <c r="K56" s="492">
        <f t="shared" si="9"/>
        <v>0</v>
      </c>
      <c r="L56" s="155"/>
      <c r="M56" s="338"/>
      <c r="N56" s="155"/>
      <c r="O56" s="156"/>
      <c r="P56" s="157"/>
      <c r="AL56" s="563"/>
      <c r="AM56" s="563"/>
      <c r="AN56" s="563"/>
      <c r="AO56" s="563"/>
      <c r="AP56" s="563"/>
      <c r="AQ56" s="563"/>
      <c r="AR56" s="563"/>
      <c r="AS56" s="563"/>
      <c r="AT56" s="563"/>
      <c r="AU56" s="563"/>
      <c r="AV56" s="563"/>
      <c r="AW56" s="563"/>
      <c r="AX56" s="563"/>
      <c r="AY56" s="563"/>
      <c r="AZ56" s="563"/>
      <c r="BA56" s="563"/>
      <c r="BB56" s="563"/>
      <c r="BC56" s="563"/>
      <c r="BD56" s="563"/>
      <c r="BE56" s="563"/>
      <c r="BF56" s="563"/>
      <c r="BG56" s="563"/>
      <c r="BH56" s="563"/>
      <c r="BI56" s="563"/>
      <c r="BJ56" s="563"/>
      <c r="BK56" s="563"/>
      <c r="BL56" s="563"/>
      <c r="BM56" s="563"/>
      <c r="BN56" s="563"/>
      <c r="BO56" s="563"/>
      <c r="BP56" s="563"/>
      <c r="BQ56" s="563"/>
      <c r="BR56" s="563"/>
      <c r="BS56" s="563"/>
      <c r="BT56" s="563"/>
      <c r="BU56" s="563"/>
      <c r="BV56" s="563"/>
      <c r="BW56" s="563"/>
      <c r="BX56" s="563"/>
      <c r="BY56" s="563"/>
      <c r="BZ56" s="563"/>
      <c r="CA56" s="563"/>
      <c r="CB56" s="563"/>
      <c r="CC56" s="563"/>
      <c r="CD56" s="563"/>
      <c r="CE56" s="563"/>
      <c r="CF56" s="563"/>
      <c r="CG56" s="563"/>
      <c r="CH56" s="563"/>
      <c r="CI56" s="563"/>
      <c r="CJ56" s="563"/>
      <c r="CK56" s="563"/>
      <c r="CL56" s="563"/>
      <c r="CM56" s="563"/>
      <c r="CN56" s="563"/>
      <c r="CO56" s="563"/>
      <c r="CP56" s="563"/>
      <c r="CQ56" s="563"/>
      <c r="CR56" s="563"/>
      <c r="CS56" s="563"/>
      <c r="CT56" s="563"/>
      <c r="CU56" s="563"/>
      <c r="CV56" s="563"/>
      <c r="CW56" s="563"/>
      <c r="CX56" s="563"/>
    </row>
    <row r="57" spans="1:102" s="126" customFormat="1" ht="12.75">
      <c r="A57" s="513" t="str">
        <f t="shared" si="10"/>
        <v>Neonatal Circumcision</v>
      </c>
      <c r="B57" s="455" t="str">
        <f>'Cost Inputs - Drug &amp; Supplies'!B25</f>
        <v>Lignocaine 2%, injection 20ml</v>
      </c>
      <c r="C57" s="514">
        <v>1</v>
      </c>
      <c r="D57" s="514">
        <v>0</v>
      </c>
      <c r="E57" s="493">
        <v>20</v>
      </c>
      <c r="F57" s="494">
        <v>1</v>
      </c>
      <c r="G57" s="494">
        <v>1</v>
      </c>
      <c r="H57" s="501">
        <f t="shared" si="6"/>
        <v>20</v>
      </c>
      <c r="I57" s="491">
        <f t="shared" si="7"/>
        <v>0.11810109289617485</v>
      </c>
      <c r="J57" s="492">
        <f t="shared" si="8"/>
        <v>2.362021857923497</v>
      </c>
      <c r="K57" s="492">
        <f t="shared" si="9"/>
        <v>2.362021857923497</v>
      </c>
      <c r="L57" s="155"/>
      <c r="M57" s="338"/>
      <c r="N57" s="155"/>
      <c r="O57" s="156"/>
      <c r="P57" s="157"/>
      <c r="AL57" s="563"/>
      <c r="AM57" s="563"/>
      <c r="AN57" s="563"/>
      <c r="AO57" s="563"/>
      <c r="AP57" s="563"/>
      <c r="AQ57" s="563"/>
      <c r="AR57" s="563"/>
      <c r="AS57" s="563"/>
      <c r="AT57" s="563"/>
      <c r="AU57" s="563"/>
      <c r="AV57" s="563"/>
      <c r="AW57" s="563"/>
      <c r="AX57" s="563"/>
      <c r="AY57" s="563"/>
      <c r="AZ57" s="563"/>
      <c r="BA57" s="563"/>
      <c r="BB57" s="563"/>
      <c r="BC57" s="563"/>
      <c r="BD57" s="563"/>
      <c r="BE57" s="563"/>
      <c r="BF57" s="563"/>
      <c r="BG57" s="563"/>
      <c r="BH57" s="563"/>
      <c r="BI57" s="563"/>
      <c r="BJ57" s="563"/>
      <c r="BK57" s="563"/>
      <c r="BL57" s="563"/>
      <c r="BM57" s="563"/>
      <c r="BN57" s="563"/>
      <c r="BO57" s="563"/>
      <c r="BP57" s="563"/>
      <c r="BQ57" s="563"/>
      <c r="BR57" s="563"/>
      <c r="BS57" s="563"/>
      <c r="BT57" s="563"/>
      <c r="BU57" s="563"/>
      <c r="BV57" s="563"/>
      <c r="BW57" s="563"/>
      <c r="BX57" s="563"/>
      <c r="BY57" s="563"/>
      <c r="BZ57" s="563"/>
      <c r="CA57" s="563"/>
      <c r="CB57" s="563"/>
      <c r="CC57" s="563"/>
      <c r="CD57" s="563"/>
      <c r="CE57" s="563"/>
      <c r="CF57" s="563"/>
      <c r="CG57" s="563"/>
      <c r="CH57" s="563"/>
      <c r="CI57" s="563"/>
      <c r="CJ57" s="563"/>
      <c r="CK57" s="563"/>
      <c r="CL57" s="563"/>
      <c r="CM57" s="563"/>
      <c r="CN57" s="563"/>
      <c r="CO57" s="563"/>
      <c r="CP57" s="563"/>
      <c r="CQ57" s="563"/>
      <c r="CR57" s="563"/>
      <c r="CS57" s="563"/>
      <c r="CT57" s="563"/>
      <c r="CU57" s="563"/>
      <c r="CV57" s="563"/>
      <c r="CW57" s="563"/>
      <c r="CX57" s="563"/>
    </row>
    <row r="58" spans="1:102" s="126" customFormat="1" ht="12.75">
      <c r="A58" s="513" t="str">
        <f t="shared" si="10"/>
        <v>Neonatal Circumcision</v>
      </c>
      <c r="B58" s="455" t="str">
        <f>'Cost Inputs - Drug &amp; Supplies'!B28</f>
        <v>Needle 21 guage</v>
      </c>
      <c r="C58" s="514">
        <v>0</v>
      </c>
      <c r="D58" s="514">
        <v>0</v>
      </c>
      <c r="E58" s="493">
        <v>1</v>
      </c>
      <c r="F58" s="494">
        <v>1</v>
      </c>
      <c r="G58" s="494">
        <v>1</v>
      </c>
      <c r="H58" s="501">
        <f t="shared" si="6"/>
        <v>1</v>
      </c>
      <c r="I58" s="491">
        <f t="shared" si="7"/>
        <v>0.026366120218579234</v>
      </c>
      <c r="J58" s="492">
        <f t="shared" si="8"/>
        <v>0.026366120218579234</v>
      </c>
      <c r="K58" s="492">
        <f t="shared" si="9"/>
        <v>0</v>
      </c>
      <c r="L58" s="155"/>
      <c r="M58" s="338"/>
      <c r="N58" s="155"/>
      <c r="O58" s="156"/>
      <c r="P58" s="157"/>
      <c r="AL58" s="563"/>
      <c r="AM58" s="563"/>
      <c r="AN58" s="563"/>
      <c r="AO58" s="563"/>
      <c r="AP58" s="563"/>
      <c r="AQ58" s="563"/>
      <c r="AR58" s="563"/>
      <c r="AS58" s="563"/>
      <c r="AT58" s="563"/>
      <c r="AU58" s="563"/>
      <c r="AV58" s="563"/>
      <c r="AW58" s="563"/>
      <c r="AX58" s="563"/>
      <c r="AY58" s="563"/>
      <c r="AZ58" s="563"/>
      <c r="BA58" s="563"/>
      <c r="BB58" s="563"/>
      <c r="BC58" s="563"/>
      <c r="BD58" s="563"/>
      <c r="BE58" s="563"/>
      <c r="BF58" s="563"/>
      <c r="BG58" s="563"/>
      <c r="BH58" s="563"/>
      <c r="BI58" s="563"/>
      <c r="BJ58" s="563"/>
      <c r="BK58" s="563"/>
      <c r="BL58" s="563"/>
      <c r="BM58" s="563"/>
      <c r="BN58" s="563"/>
      <c r="BO58" s="563"/>
      <c r="BP58" s="563"/>
      <c r="BQ58" s="563"/>
      <c r="BR58" s="563"/>
      <c r="BS58" s="563"/>
      <c r="BT58" s="563"/>
      <c r="BU58" s="563"/>
      <c r="BV58" s="563"/>
      <c r="BW58" s="563"/>
      <c r="BX58" s="563"/>
      <c r="BY58" s="563"/>
      <c r="BZ58" s="563"/>
      <c r="CA58" s="563"/>
      <c r="CB58" s="563"/>
      <c r="CC58" s="563"/>
      <c r="CD58" s="563"/>
      <c r="CE58" s="563"/>
      <c r="CF58" s="563"/>
      <c r="CG58" s="563"/>
      <c r="CH58" s="563"/>
      <c r="CI58" s="563"/>
      <c r="CJ58" s="563"/>
      <c r="CK58" s="563"/>
      <c r="CL58" s="563"/>
      <c r="CM58" s="563"/>
      <c r="CN58" s="563"/>
      <c r="CO58" s="563"/>
      <c r="CP58" s="563"/>
      <c r="CQ58" s="563"/>
      <c r="CR58" s="563"/>
      <c r="CS58" s="563"/>
      <c r="CT58" s="563"/>
      <c r="CU58" s="563"/>
      <c r="CV58" s="563"/>
      <c r="CW58" s="563"/>
      <c r="CX58" s="563"/>
    </row>
    <row r="59" spans="1:102" s="126" customFormat="1" ht="12.75">
      <c r="A59" s="513" t="str">
        <f t="shared" si="10"/>
        <v>Neonatal Circumcision</v>
      </c>
      <c r="B59" s="455" t="str">
        <f>'Cost Inputs - Drug &amp; Supplies'!B27</f>
        <v>Needle 18 guage</v>
      </c>
      <c r="C59" s="514">
        <v>0</v>
      </c>
      <c r="D59" s="514">
        <v>0</v>
      </c>
      <c r="E59" s="493">
        <v>1</v>
      </c>
      <c r="F59" s="494">
        <v>1</v>
      </c>
      <c r="G59" s="494">
        <v>1</v>
      </c>
      <c r="H59" s="501">
        <f t="shared" si="6"/>
        <v>1</v>
      </c>
      <c r="I59" s="491">
        <f t="shared" si="7"/>
        <v>0.027117486338797816</v>
      </c>
      <c r="J59" s="492">
        <f t="shared" si="8"/>
        <v>0.027117486338797816</v>
      </c>
      <c r="K59" s="492">
        <f t="shared" si="9"/>
        <v>0</v>
      </c>
      <c r="L59" s="155"/>
      <c r="M59" s="338"/>
      <c r="N59" s="155"/>
      <c r="O59" s="156"/>
      <c r="P59" s="157"/>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c r="BK59" s="563"/>
      <c r="BL59" s="563"/>
      <c r="BM59" s="563"/>
      <c r="BN59" s="563"/>
      <c r="BO59" s="563"/>
      <c r="BP59" s="563"/>
      <c r="BQ59" s="563"/>
      <c r="BR59" s="563"/>
      <c r="BS59" s="563"/>
      <c r="BT59" s="563"/>
      <c r="BU59" s="563"/>
      <c r="BV59" s="563"/>
      <c r="BW59" s="563"/>
      <c r="BX59" s="563"/>
      <c r="BY59" s="563"/>
      <c r="BZ59" s="563"/>
      <c r="CA59" s="563"/>
      <c r="CB59" s="563"/>
      <c r="CC59" s="563"/>
      <c r="CD59" s="563"/>
      <c r="CE59" s="563"/>
      <c r="CF59" s="563"/>
      <c r="CG59" s="563"/>
      <c r="CH59" s="563"/>
      <c r="CI59" s="563"/>
      <c r="CJ59" s="563"/>
      <c r="CK59" s="563"/>
      <c r="CL59" s="563"/>
      <c r="CM59" s="563"/>
      <c r="CN59" s="563"/>
      <c r="CO59" s="563"/>
      <c r="CP59" s="563"/>
      <c r="CQ59" s="563"/>
      <c r="CR59" s="563"/>
      <c r="CS59" s="563"/>
      <c r="CT59" s="563"/>
      <c r="CU59" s="563"/>
      <c r="CV59" s="563"/>
      <c r="CW59" s="563"/>
      <c r="CX59" s="563"/>
    </row>
    <row r="60" spans="1:102" s="126" customFormat="1" ht="12.75">
      <c r="A60" s="513" t="str">
        <f t="shared" si="10"/>
        <v>Neonatal Circumcision</v>
      </c>
      <c r="B60" s="455" t="str">
        <f>'Cost Inputs - Drug &amp; Supplies'!B42</f>
        <v>Syringe, 10ml, disposable</v>
      </c>
      <c r="C60" s="488">
        <v>1</v>
      </c>
      <c r="D60" s="488">
        <v>0</v>
      </c>
      <c r="E60" s="493">
        <v>1</v>
      </c>
      <c r="F60" s="494">
        <v>1</v>
      </c>
      <c r="G60" s="494">
        <v>1</v>
      </c>
      <c r="H60" s="501">
        <f t="shared" si="6"/>
        <v>1</v>
      </c>
      <c r="I60" s="491">
        <f t="shared" si="7"/>
        <v>0.03135245901639344</v>
      </c>
      <c r="J60" s="492">
        <f t="shared" si="8"/>
        <v>0.03135245901639344</v>
      </c>
      <c r="K60" s="492">
        <f t="shared" si="9"/>
        <v>0.03135245901639344</v>
      </c>
      <c r="L60" s="155"/>
      <c r="M60" s="338"/>
      <c r="N60" s="155"/>
      <c r="O60" s="156"/>
      <c r="P60" s="157"/>
      <c r="AL60" s="563"/>
      <c r="AM60" s="563"/>
      <c r="AN60" s="563"/>
      <c r="AO60" s="563"/>
      <c r="AP60" s="563"/>
      <c r="AQ60" s="563"/>
      <c r="AR60" s="563"/>
      <c r="AS60" s="563"/>
      <c r="AT60" s="563"/>
      <c r="AU60" s="563"/>
      <c r="AV60" s="563"/>
      <c r="AW60" s="563"/>
      <c r="AX60" s="563"/>
      <c r="AY60" s="563"/>
      <c r="AZ60" s="563"/>
      <c r="BA60" s="563"/>
      <c r="BB60" s="563"/>
      <c r="BC60" s="563"/>
      <c r="BD60" s="563"/>
      <c r="BE60" s="563"/>
      <c r="BF60" s="563"/>
      <c r="BG60" s="563"/>
      <c r="BH60" s="563"/>
      <c r="BI60" s="563"/>
      <c r="BJ60" s="563"/>
      <c r="BK60" s="563"/>
      <c r="BL60" s="563"/>
      <c r="BM60" s="563"/>
      <c r="BN60" s="563"/>
      <c r="BO60" s="563"/>
      <c r="BP60" s="563"/>
      <c r="BQ60" s="563"/>
      <c r="BR60" s="563"/>
      <c r="BS60" s="563"/>
      <c r="BT60" s="563"/>
      <c r="BU60" s="563"/>
      <c r="BV60" s="563"/>
      <c r="BW60" s="563"/>
      <c r="BX60" s="563"/>
      <c r="BY60" s="563"/>
      <c r="BZ60" s="563"/>
      <c r="CA60" s="563"/>
      <c r="CB60" s="563"/>
      <c r="CC60" s="563"/>
      <c r="CD60" s="563"/>
      <c r="CE60" s="563"/>
      <c r="CF60" s="563"/>
      <c r="CG60" s="563"/>
      <c r="CH60" s="563"/>
      <c r="CI60" s="563"/>
      <c r="CJ60" s="563"/>
      <c r="CK60" s="563"/>
      <c r="CL60" s="563"/>
      <c r="CM60" s="563"/>
      <c r="CN60" s="563"/>
      <c r="CO60" s="563"/>
      <c r="CP60" s="563"/>
      <c r="CQ60" s="563"/>
      <c r="CR60" s="563"/>
      <c r="CS60" s="563"/>
      <c r="CT60" s="563"/>
      <c r="CU60" s="563"/>
      <c r="CV60" s="563"/>
      <c r="CW60" s="563"/>
      <c r="CX60" s="563"/>
    </row>
    <row r="61" spans="1:102" s="126" customFormat="1" ht="12.75">
      <c r="A61" s="513" t="str">
        <f t="shared" si="10"/>
        <v>Neonatal Circumcision</v>
      </c>
      <c r="B61" s="455" t="str">
        <f>'Cost Inputs - Drug &amp; Supplies'!B24</f>
        <v>Ketamine, injection 50mg/ml</v>
      </c>
      <c r="C61" s="514">
        <v>0</v>
      </c>
      <c r="D61" s="514">
        <v>0</v>
      </c>
      <c r="E61" s="493">
        <v>0</v>
      </c>
      <c r="F61" s="494">
        <v>1</v>
      </c>
      <c r="G61" s="494">
        <v>1</v>
      </c>
      <c r="H61" s="501">
        <f t="shared" si="6"/>
        <v>0</v>
      </c>
      <c r="I61" s="491">
        <f t="shared" si="7"/>
        <v>0.11639344262295082</v>
      </c>
      <c r="J61" s="492">
        <f t="shared" si="8"/>
        <v>0</v>
      </c>
      <c r="K61" s="492">
        <f t="shared" si="9"/>
        <v>0</v>
      </c>
      <c r="L61" s="155"/>
      <c r="M61" s="338"/>
      <c r="N61" s="155"/>
      <c r="O61" s="156"/>
      <c r="P61" s="157"/>
      <c r="AL61" s="563"/>
      <c r="AM61" s="563"/>
      <c r="AN61" s="563"/>
      <c r="AO61" s="563"/>
      <c r="AP61" s="563"/>
      <c r="AQ61" s="563"/>
      <c r="AR61" s="563"/>
      <c r="AS61" s="563"/>
      <c r="AT61" s="563"/>
      <c r="AU61" s="563"/>
      <c r="AV61" s="563"/>
      <c r="AW61" s="563"/>
      <c r="AX61" s="563"/>
      <c r="AY61" s="563"/>
      <c r="AZ61" s="563"/>
      <c r="BA61" s="563"/>
      <c r="BB61" s="563"/>
      <c r="BC61" s="563"/>
      <c r="BD61" s="563"/>
      <c r="BE61" s="563"/>
      <c r="BF61" s="563"/>
      <c r="BG61" s="563"/>
      <c r="BH61" s="563"/>
      <c r="BI61" s="563"/>
      <c r="BJ61" s="563"/>
      <c r="BK61" s="563"/>
      <c r="BL61" s="563"/>
      <c r="BM61" s="563"/>
      <c r="BN61" s="563"/>
      <c r="BO61" s="563"/>
      <c r="BP61" s="563"/>
      <c r="BQ61" s="563"/>
      <c r="BR61" s="563"/>
      <c r="BS61" s="563"/>
      <c r="BT61" s="563"/>
      <c r="BU61" s="563"/>
      <c r="BV61" s="563"/>
      <c r="BW61" s="563"/>
      <c r="BX61" s="563"/>
      <c r="BY61" s="563"/>
      <c r="BZ61" s="563"/>
      <c r="CA61" s="563"/>
      <c r="CB61" s="563"/>
      <c r="CC61" s="563"/>
      <c r="CD61" s="563"/>
      <c r="CE61" s="563"/>
      <c r="CF61" s="563"/>
      <c r="CG61" s="563"/>
      <c r="CH61" s="563"/>
      <c r="CI61" s="563"/>
      <c r="CJ61" s="563"/>
      <c r="CK61" s="563"/>
      <c r="CL61" s="563"/>
      <c r="CM61" s="563"/>
      <c r="CN61" s="563"/>
      <c r="CO61" s="563"/>
      <c r="CP61" s="563"/>
      <c r="CQ61" s="563"/>
      <c r="CR61" s="563"/>
      <c r="CS61" s="563"/>
      <c r="CT61" s="563"/>
      <c r="CU61" s="563"/>
      <c r="CV61" s="563"/>
      <c r="CW61" s="563"/>
      <c r="CX61" s="563"/>
    </row>
    <row r="62" spans="1:102" s="126" customFormat="1" ht="12.75">
      <c r="A62" s="513" t="str">
        <f t="shared" si="10"/>
        <v>Neonatal Circumcision</v>
      </c>
      <c r="B62" s="455" t="str">
        <f>'Cost Inputs - Drug &amp; Supplies'!B46</f>
        <v>Thiopental, injection 1g + diluent</v>
      </c>
      <c r="C62" s="514">
        <v>0</v>
      </c>
      <c r="D62" s="514">
        <v>0</v>
      </c>
      <c r="E62" s="493">
        <v>0</v>
      </c>
      <c r="F62" s="494">
        <v>1</v>
      </c>
      <c r="G62" s="494">
        <v>1</v>
      </c>
      <c r="H62" s="501">
        <f t="shared" si="6"/>
        <v>0</v>
      </c>
      <c r="I62" s="491">
        <f t="shared" si="7"/>
        <v>0</v>
      </c>
      <c r="J62" s="492">
        <f t="shared" si="8"/>
        <v>0</v>
      </c>
      <c r="K62" s="492">
        <f t="shared" si="9"/>
        <v>0</v>
      </c>
      <c r="L62" s="155"/>
      <c r="M62" s="338"/>
      <c r="N62" s="155"/>
      <c r="O62" s="156"/>
      <c r="P62" s="157"/>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c r="BL62" s="563"/>
      <c r="BM62" s="563"/>
      <c r="BN62" s="563"/>
      <c r="BO62" s="563"/>
      <c r="BP62" s="563"/>
      <c r="BQ62" s="563"/>
      <c r="BR62" s="563"/>
      <c r="BS62" s="563"/>
      <c r="BT62" s="563"/>
      <c r="BU62" s="563"/>
      <c r="BV62" s="563"/>
      <c r="BW62" s="563"/>
      <c r="BX62" s="563"/>
      <c r="BY62" s="563"/>
      <c r="BZ62" s="563"/>
      <c r="CA62" s="563"/>
      <c r="CB62" s="563"/>
      <c r="CC62" s="563"/>
      <c r="CD62" s="563"/>
      <c r="CE62" s="563"/>
      <c r="CF62" s="563"/>
      <c r="CG62" s="563"/>
      <c r="CH62" s="563"/>
      <c r="CI62" s="563"/>
      <c r="CJ62" s="563"/>
      <c r="CK62" s="563"/>
      <c r="CL62" s="563"/>
      <c r="CM62" s="563"/>
      <c r="CN62" s="563"/>
      <c r="CO62" s="563"/>
      <c r="CP62" s="563"/>
      <c r="CQ62" s="563"/>
      <c r="CR62" s="563"/>
      <c r="CS62" s="563"/>
      <c r="CT62" s="563"/>
      <c r="CU62" s="563"/>
      <c r="CV62" s="563"/>
      <c r="CW62" s="563"/>
      <c r="CX62" s="563"/>
    </row>
    <row r="63" spans="1:102" s="126" customFormat="1" ht="12.75">
      <c r="A63" s="513" t="str">
        <f t="shared" si="10"/>
        <v>Neonatal Circumcision</v>
      </c>
      <c r="B63" s="455" t="str">
        <f>'Cost Inputs - Drug &amp; Supplies'!B70</f>
        <v>IV canula (Jelo radiopaque) 18 guage</v>
      </c>
      <c r="C63" s="514">
        <v>0</v>
      </c>
      <c r="D63" s="514"/>
      <c r="E63" s="493">
        <v>0</v>
      </c>
      <c r="F63" s="494">
        <v>1</v>
      </c>
      <c r="G63" s="494">
        <v>1</v>
      </c>
      <c r="H63" s="501">
        <f t="shared" si="6"/>
        <v>0</v>
      </c>
      <c r="I63" s="491">
        <f t="shared" si="7"/>
        <v>1.6666666666666665</v>
      </c>
      <c r="J63" s="492">
        <f t="shared" si="8"/>
        <v>0</v>
      </c>
      <c r="K63" s="492">
        <f t="shared" si="9"/>
        <v>0</v>
      </c>
      <c r="L63" s="155"/>
      <c r="M63" s="338"/>
      <c r="N63" s="155"/>
      <c r="O63" s="156"/>
      <c r="P63" s="157"/>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563"/>
      <c r="BV63" s="563"/>
      <c r="BW63" s="563"/>
      <c r="BX63" s="563"/>
      <c r="BY63" s="563"/>
      <c r="BZ63" s="563"/>
      <c r="CA63" s="563"/>
      <c r="CB63" s="563"/>
      <c r="CC63" s="563"/>
      <c r="CD63" s="563"/>
      <c r="CE63" s="563"/>
      <c r="CF63" s="563"/>
      <c r="CG63" s="563"/>
      <c r="CH63" s="563"/>
      <c r="CI63" s="563"/>
      <c r="CJ63" s="563"/>
      <c r="CK63" s="563"/>
      <c r="CL63" s="563"/>
      <c r="CM63" s="563"/>
      <c r="CN63" s="563"/>
      <c r="CO63" s="563"/>
      <c r="CP63" s="563"/>
      <c r="CQ63" s="563"/>
      <c r="CR63" s="563"/>
      <c r="CS63" s="563"/>
      <c r="CT63" s="563"/>
      <c r="CU63" s="563"/>
      <c r="CV63" s="563"/>
      <c r="CW63" s="563"/>
      <c r="CX63" s="563"/>
    </row>
    <row r="64" spans="1:102" s="126" customFormat="1" ht="12.75">
      <c r="A64" s="513" t="str">
        <f t="shared" si="10"/>
        <v>Neonatal Circumcision</v>
      </c>
      <c r="B64" s="455" t="str">
        <f>'Cost Inputs - Drug &amp; Supplies'!B19</f>
        <v>Glucose 5% in water + set, 500ml</v>
      </c>
      <c r="C64" s="488">
        <v>0</v>
      </c>
      <c r="D64" s="488">
        <v>0</v>
      </c>
      <c r="E64" s="493">
        <v>0</v>
      </c>
      <c r="F64" s="494">
        <v>1</v>
      </c>
      <c r="G64" s="494">
        <v>1</v>
      </c>
      <c r="H64" s="501">
        <f t="shared" si="6"/>
        <v>0</v>
      </c>
      <c r="I64" s="491">
        <f t="shared" si="7"/>
        <v>0.9562841530054644</v>
      </c>
      <c r="J64" s="492">
        <f t="shared" si="8"/>
        <v>0</v>
      </c>
      <c r="K64" s="492">
        <f t="shared" si="9"/>
        <v>0</v>
      </c>
      <c r="L64" s="155"/>
      <c r="M64" s="338"/>
      <c r="N64" s="155"/>
      <c r="O64" s="156"/>
      <c r="P64" s="157"/>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c r="BK64" s="563"/>
      <c r="BL64" s="563"/>
      <c r="BM64" s="563"/>
      <c r="BN64" s="563"/>
      <c r="BO64" s="563"/>
      <c r="BP64" s="563"/>
      <c r="BQ64" s="563"/>
      <c r="BR64" s="563"/>
      <c r="BS64" s="563"/>
      <c r="BT64" s="563"/>
      <c r="BU64" s="563"/>
      <c r="BV64" s="563"/>
      <c r="BW64" s="563"/>
      <c r="BX64" s="563"/>
      <c r="BY64" s="563"/>
      <c r="BZ64" s="563"/>
      <c r="CA64" s="563"/>
      <c r="CB64" s="563"/>
      <c r="CC64" s="563"/>
      <c r="CD64" s="563"/>
      <c r="CE64" s="563"/>
      <c r="CF64" s="563"/>
      <c r="CG64" s="563"/>
      <c r="CH64" s="563"/>
      <c r="CI64" s="563"/>
      <c r="CJ64" s="563"/>
      <c r="CK64" s="563"/>
      <c r="CL64" s="563"/>
      <c r="CM64" s="563"/>
      <c r="CN64" s="563"/>
      <c r="CO64" s="563"/>
      <c r="CP64" s="563"/>
      <c r="CQ64" s="563"/>
      <c r="CR64" s="563"/>
      <c r="CS64" s="563"/>
      <c r="CT64" s="563"/>
      <c r="CU64" s="563"/>
      <c r="CV64" s="563"/>
      <c r="CW64" s="563"/>
      <c r="CX64" s="563"/>
    </row>
    <row r="65" spans="1:102" s="126" customFormat="1" ht="12.75">
      <c r="A65" s="513" t="str">
        <f t="shared" si="10"/>
        <v>Neonatal Circumcision</v>
      </c>
      <c r="B65" s="455" t="str">
        <f>'Cost Inputs - Drug &amp; Supplies'!B8</f>
        <v>Blade, 22, 23 or 24</v>
      </c>
      <c r="C65" s="514">
        <v>1</v>
      </c>
      <c r="D65" s="514">
        <v>0</v>
      </c>
      <c r="E65" s="493">
        <v>1</v>
      </c>
      <c r="F65" s="494">
        <v>1</v>
      </c>
      <c r="G65" s="494">
        <v>1</v>
      </c>
      <c r="H65" s="501">
        <f t="shared" si="6"/>
        <v>1</v>
      </c>
      <c r="I65" s="491">
        <f t="shared" si="7"/>
        <v>0.02459016393442623</v>
      </c>
      <c r="J65" s="492">
        <f t="shared" si="8"/>
        <v>0.02459016393442623</v>
      </c>
      <c r="K65" s="492">
        <f t="shared" si="9"/>
        <v>0.02459016393442623</v>
      </c>
      <c r="L65" s="155"/>
      <c r="M65" s="338"/>
      <c r="N65" s="155"/>
      <c r="O65" s="156"/>
      <c r="P65" s="157"/>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row>
    <row r="66" spans="1:102" s="126" customFormat="1" ht="12.75">
      <c r="A66" s="513" t="str">
        <f t="shared" si="10"/>
        <v>Neonatal Circumcision</v>
      </c>
      <c r="B66" s="455" t="str">
        <f>'Cost Inputs - Drug &amp; Supplies'!B38</f>
        <v>Suture, catgut chromic 3/0, 150cm</v>
      </c>
      <c r="C66" s="488">
        <v>0</v>
      </c>
      <c r="D66" s="488">
        <v>0</v>
      </c>
      <c r="E66" s="493">
        <v>0</v>
      </c>
      <c r="F66" s="494">
        <v>1</v>
      </c>
      <c r="G66" s="494">
        <v>1</v>
      </c>
      <c r="H66" s="501">
        <f t="shared" si="6"/>
        <v>0</v>
      </c>
      <c r="I66" s="491">
        <f t="shared" si="7"/>
        <v>7.2363387978142075</v>
      </c>
      <c r="J66" s="492">
        <f t="shared" si="8"/>
        <v>0</v>
      </c>
      <c r="K66" s="492">
        <f t="shared" si="9"/>
        <v>0</v>
      </c>
      <c r="L66" s="155"/>
      <c r="M66" s="338"/>
      <c r="N66" s="155"/>
      <c r="O66" s="156"/>
      <c r="P66" s="157"/>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63"/>
      <c r="CN66" s="563"/>
      <c r="CO66" s="563"/>
      <c r="CP66" s="563"/>
      <c r="CQ66" s="563"/>
      <c r="CR66" s="563"/>
      <c r="CS66" s="563"/>
      <c r="CT66" s="563"/>
      <c r="CU66" s="563"/>
      <c r="CV66" s="563"/>
      <c r="CW66" s="563"/>
      <c r="CX66" s="563"/>
    </row>
    <row r="67" spans="1:102" s="126" customFormat="1" ht="12.75">
      <c r="A67" s="513" t="str">
        <f t="shared" si="10"/>
        <v>Neonatal Circumcision</v>
      </c>
      <c r="B67" s="455" t="str">
        <f>'Cost Inputs - Drug &amp; Supplies'!B37</f>
        <v>Suture, catgut chromic 4/0, 150cm</v>
      </c>
      <c r="C67" s="488">
        <v>0</v>
      </c>
      <c r="D67" s="488">
        <v>0</v>
      </c>
      <c r="E67" s="493">
        <v>1</v>
      </c>
      <c r="F67" s="494">
        <v>1</v>
      </c>
      <c r="G67" s="494">
        <v>1</v>
      </c>
      <c r="H67" s="501">
        <f t="shared" si="6"/>
        <v>1</v>
      </c>
      <c r="I67" s="491">
        <f t="shared" si="7"/>
        <v>0.6816939890710382</v>
      </c>
      <c r="J67" s="492">
        <f t="shared" si="8"/>
        <v>0.6816939890710382</v>
      </c>
      <c r="K67" s="492">
        <f t="shared" si="9"/>
        <v>0</v>
      </c>
      <c r="L67" s="155"/>
      <c r="M67" s="338"/>
      <c r="N67" s="155"/>
      <c r="O67" s="156"/>
      <c r="P67" s="157"/>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63"/>
      <c r="CN67" s="563"/>
      <c r="CO67" s="563"/>
      <c r="CP67" s="563"/>
      <c r="CQ67" s="563"/>
      <c r="CR67" s="563"/>
      <c r="CS67" s="563"/>
      <c r="CT67" s="563"/>
      <c r="CU67" s="563"/>
      <c r="CV67" s="563"/>
      <c r="CW67" s="563"/>
      <c r="CX67" s="563"/>
    </row>
    <row r="68" spans="1:102" s="126" customFormat="1" ht="12.75">
      <c r="A68" s="513" t="str">
        <f t="shared" si="10"/>
        <v>Neonatal Circumcision</v>
      </c>
      <c r="B68" s="455" t="str">
        <f>'Cost Inputs - Drug &amp; Supplies'!B40</f>
        <v>Suture, silk, 2 x 0.75m</v>
      </c>
      <c r="C68" s="488">
        <v>0</v>
      </c>
      <c r="D68" s="488">
        <v>0</v>
      </c>
      <c r="E68" s="493">
        <v>0</v>
      </c>
      <c r="F68" s="494">
        <v>1</v>
      </c>
      <c r="G68" s="494">
        <v>1</v>
      </c>
      <c r="H68" s="501">
        <f t="shared" si="6"/>
        <v>0</v>
      </c>
      <c r="I68" s="491">
        <f t="shared" si="7"/>
        <v>5.106557377049181</v>
      </c>
      <c r="J68" s="492">
        <f t="shared" si="8"/>
        <v>0</v>
      </c>
      <c r="K68" s="492">
        <f t="shared" si="9"/>
        <v>0</v>
      </c>
      <c r="L68" s="155"/>
      <c r="M68" s="338"/>
      <c r="N68" s="155"/>
      <c r="O68" s="156"/>
      <c r="P68" s="157"/>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563"/>
      <c r="BU68" s="563"/>
      <c r="BV68" s="563"/>
      <c r="BW68" s="563"/>
      <c r="BX68" s="563"/>
      <c r="BY68" s="563"/>
      <c r="BZ68" s="563"/>
      <c r="CA68" s="563"/>
      <c r="CB68" s="563"/>
      <c r="CC68" s="563"/>
      <c r="CD68" s="563"/>
      <c r="CE68" s="563"/>
      <c r="CF68" s="563"/>
      <c r="CG68" s="563"/>
      <c r="CH68" s="563"/>
      <c r="CI68" s="563"/>
      <c r="CJ68" s="563"/>
      <c r="CK68" s="563"/>
      <c r="CL68" s="563"/>
      <c r="CM68" s="563"/>
      <c r="CN68" s="563"/>
      <c r="CO68" s="563"/>
      <c r="CP68" s="563"/>
      <c r="CQ68" s="563"/>
      <c r="CR68" s="563"/>
      <c r="CS68" s="563"/>
      <c r="CT68" s="563"/>
      <c r="CU68" s="563"/>
      <c r="CV68" s="563"/>
      <c r="CW68" s="563"/>
      <c r="CX68" s="563"/>
    </row>
    <row r="69" spans="1:102" s="126" customFormat="1" ht="12.75">
      <c r="A69" s="513" t="str">
        <f t="shared" si="10"/>
        <v>Neonatal Circumcision</v>
      </c>
      <c r="B69" s="455" t="str">
        <f>'Cost Inputs - Drug &amp; Supplies'!B16</f>
        <v>Gauze pad, Jelonet (paraffine vaseline)</v>
      </c>
      <c r="C69" s="488">
        <v>0</v>
      </c>
      <c r="D69" s="488">
        <v>0</v>
      </c>
      <c r="E69" s="493">
        <v>0</v>
      </c>
      <c r="F69" s="494">
        <v>1</v>
      </c>
      <c r="G69" s="494">
        <v>1</v>
      </c>
      <c r="H69" s="501">
        <f t="shared" si="6"/>
        <v>0</v>
      </c>
      <c r="I69" s="491">
        <f t="shared" si="7"/>
        <v>0.17418032786885246</v>
      </c>
      <c r="J69" s="492">
        <f t="shared" si="8"/>
        <v>0</v>
      </c>
      <c r="K69" s="492">
        <f t="shared" si="9"/>
        <v>0</v>
      </c>
      <c r="L69" s="155"/>
      <c r="M69" s="338"/>
      <c r="N69" s="155"/>
      <c r="O69" s="156"/>
      <c r="P69" s="157"/>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row>
    <row r="70" spans="1:102" s="126" customFormat="1" ht="12.75">
      <c r="A70" s="513" t="str">
        <f t="shared" si="10"/>
        <v>Neonatal Circumcision</v>
      </c>
      <c r="B70" s="455" t="str">
        <f>'Cost Inputs - Drug &amp; Supplies'!B15</f>
        <v>Gauze pad, Inadine</v>
      </c>
      <c r="C70" s="488">
        <v>1</v>
      </c>
      <c r="D70" s="488">
        <v>0</v>
      </c>
      <c r="E70" s="493">
        <v>1</v>
      </c>
      <c r="F70" s="494">
        <v>1</v>
      </c>
      <c r="G70" s="494">
        <v>1</v>
      </c>
      <c r="H70" s="501">
        <f t="shared" si="6"/>
        <v>1</v>
      </c>
      <c r="I70" s="491">
        <f t="shared" si="7"/>
        <v>0.17418032786885246</v>
      </c>
      <c r="J70" s="492">
        <f t="shared" si="8"/>
        <v>0.17418032786885246</v>
      </c>
      <c r="K70" s="492">
        <f t="shared" si="9"/>
        <v>0.17418032786885246</v>
      </c>
      <c r="L70" s="155"/>
      <c r="M70" s="338"/>
      <c r="N70" s="155"/>
      <c r="O70" s="156"/>
      <c r="P70" s="157"/>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row>
    <row r="71" spans="1:102" s="126" customFormat="1" ht="12.75">
      <c r="A71" s="513" t="str">
        <f t="shared" si="10"/>
        <v>Neonatal Circumcision</v>
      </c>
      <c r="B71" s="455" t="str">
        <f>'Cost Inputs - Drug &amp; Supplies'!B10</f>
        <v>Elastoplast/Dermaplast 25mm/9m</v>
      </c>
      <c r="C71" s="488">
        <v>0</v>
      </c>
      <c r="D71" s="488">
        <v>0</v>
      </c>
      <c r="E71" s="493">
        <v>10</v>
      </c>
      <c r="F71" s="494">
        <v>1</v>
      </c>
      <c r="G71" s="494">
        <v>1</v>
      </c>
      <c r="H71" s="501">
        <f t="shared" si="6"/>
        <v>10</v>
      </c>
      <c r="I71" s="491">
        <f t="shared" si="7"/>
        <v>0.17092896174863387</v>
      </c>
      <c r="J71" s="492">
        <f t="shared" si="8"/>
        <v>1.7092896174863386</v>
      </c>
      <c r="K71" s="492">
        <f t="shared" si="9"/>
        <v>0</v>
      </c>
      <c r="L71" s="155"/>
      <c r="M71" s="338"/>
      <c r="N71" s="155"/>
      <c r="O71" s="156"/>
      <c r="P71" s="157"/>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row>
    <row r="72" spans="1:102" s="126" customFormat="1" ht="12.75">
      <c r="A72" s="513" t="str">
        <f t="shared" si="10"/>
        <v>Neonatal Circumcision</v>
      </c>
      <c r="B72" s="455" t="str">
        <f>'Cost Inputs - Drug &amp; Supplies'!B26</f>
        <v>Micropore</v>
      </c>
      <c r="C72" s="488">
        <v>0</v>
      </c>
      <c r="D72" s="488">
        <v>0</v>
      </c>
      <c r="E72" s="493">
        <v>10</v>
      </c>
      <c r="F72" s="494">
        <v>1</v>
      </c>
      <c r="G72" s="494">
        <v>1</v>
      </c>
      <c r="H72" s="501">
        <f t="shared" si="6"/>
        <v>10</v>
      </c>
      <c r="I72" s="491">
        <f t="shared" si="7"/>
        <v>0.17092896174863387</v>
      </c>
      <c r="J72" s="492">
        <f t="shared" si="8"/>
        <v>1.7092896174863386</v>
      </c>
      <c r="K72" s="492">
        <f t="shared" si="9"/>
        <v>0</v>
      </c>
      <c r="L72" s="155"/>
      <c r="M72" s="338"/>
      <c r="N72" s="155"/>
      <c r="O72" s="156"/>
      <c r="P72" s="157"/>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563"/>
      <c r="BT72" s="563"/>
      <c r="BU72" s="563"/>
      <c r="BV72" s="563"/>
      <c r="BW72" s="563"/>
      <c r="BX72" s="563"/>
      <c r="BY72" s="563"/>
      <c r="BZ72" s="563"/>
      <c r="CA72" s="563"/>
      <c r="CB72" s="563"/>
      <c r="CC72" s="563"/>
      <c r="CD72" s="563"/>
      <c r="CE72" s="563"/>
      <c r="CF72" s="563"/>
      <c r="CG72" s="563"/>
      <c r="CH72" s="563"/>
      <c r="CI72" s="563"/>
      <c r="CJ72" s="563"/>
      <c r="CK72" s="563"/>
      <c r="CL72" s="563"/>
      <c r="CM72" s="563"/>
      <c r="CN72" s="563"/>
      <c r="CO72" s="563"/>
      <c r="CP72" s="563"/>
      <c r="CQ72" s="563"/>
      <c r="CR72" s="563"/>
      <c r="CS72" s="563"/>
      <c r="CT72" s="563"/>
      <c r="CU72" s="563"/>
      <c r="CV72" s="563"/>
      <c r="CW72" s="563"/>
      <c r="CX72" s="563"/>
    </row>
    <row r="73" spans="1:102" s="126" customFormat="1" ht="12.75">
      <c r="A73" s="513" t="str">
        <f t="shared" si="10"/>
        <v>Neonatal Circumcision</v>
      </c>
      <c r="B73" s="455" t="str">
        <f>'Cost Inputs - Drug &amp; Supplies'!B45</f>
        <v>Tegaderm (3M) 1624</v>
      </c>
      <c r="C73" s="488">
        <v>0</v>
      </c>
      <c r="D73" s="488">
        <v>0</v>
      </c>
      <c r="E73" s="493">
        <v>0</v>
      </c>
      <c r="F73" s="494">
        <v>1</v>
      </c>
      <c r="G73" s="494">
        <v>1</v>
      </c>
      <c r="H73" s="501">
        <f t="shared" si="6"/>
        <v>0</v>
      </c>
      <c r="I73" s="491">
        <f t="shared" si="7"/>
        <v>4.377049180327869</v>
      </c>
      <c r="J73" s="492">
        <f t="shared" si="8"/>
        <v>0</v>
      </c>
      <c r="K73" s="492">
        <f t="shared" si="9"/>
        <v>0</v>
      </c>
      <c r="L73" s="155"/>
      <c r="M73" s="338"/>
      <c r="N73" s="155"/>
      <c r="O73" s="156"/>
      <c r="P73" s="157"/>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563"/>
      <c r="BT73" s="563"/>
      <c r="BU73" s="563"/>
      <c r="BV73" s="563"/>
      <c r="BW73" s="563"/>
      <c r="BX73" s="563"/>
      <c r="BY73" s="563"/>
      <c r="BZ73" s="563"/>
      <c r="CA73" s="563"/>
      <c r="CB73" s="563"/>
      <c r="CC73" s="563"/>
      <c r="CD73" s="563"/>
      <c r="CE73" s="563"/>
      <c r="CF73" s="563"/>
      <c r="CG73" s="563"/>
      <c r="CH73" s="563"/>
      <c r="CI73" s="563"/>
      <c r="CJ73" s="563"/>
      <c r="CK73" s="563"/>
      <c r="CL73" s="563"/>
      <c r="CM73" s="563"/>
      <c r="CN73" s="563"/>
      <c r="CO73" s="563"/>
      <c r="CP73" s="563"/>
      <c r="CQ73" s="563"/>
      <c r="CR73" s="563"/>
      <c r="CS73" s="563"/>
      <c r="CT73" s="563"/>
      <c r="CU73" s="563"/>
      <c r="CV73" s="563"/>
      <c r="CW73" s="563"/>
      <c r="CX73" s="563"/>
    </row>
    <row r="74" spans="1:102" s="126" customFormat="1" ht="12.75">
      <c r="A74" s="513" t="str">
        <f t="shared" si="10"/>
        <v>Neonatal Circumcision</v>
      </c>
      <c r="B74" s="455" t="str">
        <f>'Cost Inputs - Drug &amp; Supplies'!B7</f>
        <v>Bandage (elastic)</v>
      </c>
      <c r="C74" s="488">
        <v>0</v>
      </c>
      <c r="D74" s="488">
        <v>0</v>
      </c>
      <c r="E74" s="493">
        <v>1</v>
      </c>
      <c r="F74" s="494">
        <v>1</v>
      </c>
      <c r="G74" s="494">
        <v>1</v>
      </c>
      <c r="H74" s="501">
        <f t="shared" si="6"/>
        <v>1</v>
      </c>
      <c r="I74" s="491">
        <f t="shared" si="7"/>
        <v>0.0557832422586521</v>
      </c>
      <c r="J74" s="492">
        <f t="shared" si="8"/>
        <v>0.0557832422586521</v>
      </c>
      <c r="K74" s="492">
        <f t="shared" si="9"/>
        <v>0</v>
      </c>
      <c r="L74" s="155"/>
      <c r="M74" s="338"/>
      <c r="N74" s="155"/>
      <c r="O74" s="156"/>
      <c r="P74" s="157"/>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row>
    <row r="75" spans="1:102" s="126" customFormat="1" ht="12.75">
      <c r="A75" s="513" t="str">
        <f t="shared" si="10"/>
        <v>Neonatal Circumcision</v>
      </c>
      <c r="B75" s="455" t="str">
        <f>'Cost Inputs - Drug &amp; Supplies'!B23</f>
        <v>Iboprufen, Brufen 400mg</v>
      </c>
      <c r="C75" s="488">
        <v>0</v>
      </c>
      <c r="D75" s="488">
        <v>0</v>
      </c>
      <c r="E75" s="493">
        <v>1</v>
      </c>
      <c r="F75" s="494">
        <v>3</v>
      </c>
      <c r="G75" s="494">
        <v>5</v>
      </c>
      <c r="H75" s="501">
        <f t="shared" si="6"/>
        <v>15</v>
      </c>
      <c r="I75" s="491">
        <f t="shared" si="7"/>
        <v>0</v>
      </c>
      <c r="J75" s="492">
        <f t="shared" si="8"/>
        <v>0</v>
      </c>
      <c r="K75" s="492">
        <f t="shared" si="9"/>
        <v>0</v>
      </c>
      <c r="L75" s="155"/>
      <c r="M75" s="338"/>
      <c r="N75" s="155"/>
      <c r="O75" s="156"/>
      <c r="P75" s="157"/>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row>
    <row r="76" spans="1:102" s="126" customFormat="1" ht="12.75">
      <c r="A76" s="513" t="str">
        <f t="shared" si="10"/>
        <v>Neonatal Circumcision</v>
      </c>
      <c r="B76" s="455" t="str">
        <f>'Cost Inputs - Drug &amp; Supplies'!B31</f>
        <v>Paracetamol, syrup</v>
      </c>
      <c r="C76" s="488">
        <v>1</v>
      </c>
      <c r="D76" s="488">
        <v>0</v>
      </c>
      <c r="E76" s="493">
        <v>1</v>
      </c>
      <c r="F76" s="494">
        <v>3</v>
      </c>
      <c r="G76" s="494">
        <v>2</v>
      </c>
      <c r="H76" s="501">
        <f t="shared" si="6"/>
        <v>6</v>
      </c>
      <c r="I76" s="491">
        <f t="shared" si="7"/>
        <v>0.5</v>
      </c>
      <c r="J76" s="492">
        <f t="shared" si="8"/>
        <v>3</v>
      </c>
      <c r="K76" s="492">
        <f t="shared" si="9"/>
        <v>3</v>
      </c>
      <c r="L76" s="155"/>
      <c r="M76" s="338"/>
      <c r="N76" s="155"/>
      <c r="O76" s="156"/>
      <c r="P76" s="157"/>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row>
    <row r="77" spans="1:102" s="126" customFormat="1" ht="12.75">
      <c r="A77" s="513" t="str">
        <f t="shared" si="10"/>
        <v>Neonatal Circumcision</v>
      </c>
      <c r="B77" s="455" t="str">
        <f>'Cost Inputs - Drug &amp; Supplies'!B5</f>
        <v>Amoxycillin, 500mg</v>
      </c>
      <c r="C77" s="488">
        <v>0</v>
      </c>
      <c r="D77" s="488">
        <v>0</v>
      </c>
      <c r="E77" s="493">
        <v>0</v>
      </c>
      <c r="F77" s="494">
        <v>3</v>
      </c>
      <c r="G77" s="494">
        <v>7</v>
      </c>
      <c r="H77" s="501">
        <f t="shared" si="6"/>
        <v>0</v>
      </c>
      <c r="I77" s="491">
        <f t="shared" si="7"/>
        <v>0.014401639344262295</v>
      </c>
      <c r="J77" s="492">
        <f t="shared" si="8"/>
        <v>0</v>
      </c>
      <c r="K77" s="492">
        <f t="shared" si="9"/>
        <v>0</v>
      </c>
      <c r="L77" s="155"/>
      <c r="M77" s="338"/>
      <c r="N77" s="155"/>
      <c r="O77" s="156"/>
      <c r="P77" s="157"/>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563"/>
      <c r="BW77" s="563"/>
      <c r="BX77" s="563"/>
      <c r="BY77" s="563"/>
      <c r="BZ77" s="563"/>
      <c r="CA77" s="563"/>
      <c r="CB77" s="563"/>
      <c r="CC77" s="563"/>
      <c r="CD77" s="563"/>
      <c r="CE77" s="563"/>
      <c r="CF77" s="563"/>
      <c r="CG77" s="563"/>
      <c r="CH77" s="563"/>
      <c r="CI77" s="563"/>
      <c r="CJ77" s="563"/>
      <c r="CK77" s="563"/>
      <c r="CL77" s="563"/>
      <c r="CM77" s="563"/>
      <c r="CN77" s="563"/>
      <c r="CO77" s="563"/>
      <c r="CP77" s="563"/>
      <c r="CQ77" s="563"/>
      <c r="CR77" s="563"/>
      <c r="CS77" s="563"/>
      <c r="CT77" s="563"/>
      <c r="CU77" s="563"/>
      <c r="CV77" s="563"/>
      <c r="CW77" s="563"/>
      <c r="CX77" s="563"/>
    </row>
    <row r="78" spans="1:102" s="126" customFormat="1" ht="12.75">
      <c r="A78" s="513" t="str">
        <f t="shared" si="10"/>
        <v>Neonatal Circumcision</v>
      </c>
      <c r="B78" s="455" t="str">
        <f>'Cost Inputs - Drug &amp; Supplies'!B9</f>
        <v>Cloxacillin, 500mg</v>
      </c>
      <c r="C78" s="488">
        <v>0</v>
      </c>
      <c r="D78" s="488">
        <v>0</v>
      </c>
      <c r="E78" s="493">
        <v>0</v>
      </c>
      <c r="F78" s="494">
        <v>4</v>
      </c>
      <c r="G78" s="494">
        <v>7</v>
      </c>
      <c r="H78" s="501">
        <f t="shared" si="6"/>
        <v>0</v>
      </c>
      <c r="I78" s="491">
        <f t="shared" si="7"/>
        <v>0.038819672131147544</v>
      </c>
      <c r="J78" s="491">
        <f t="shared" si="8"/>
        <v>0</v>
      </c>
      <c r="K78" s="491">
        <f t="shared" si="9"/>
        <v>0</v>
      </c>
      <c r="L78" s="155"/>
      <c r="M78" s="338"/>
      <c r="N78" s="155"/>
      <c r="O78" s="156"/>
      <c r="P78" s="157"/>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row>
    <row r="79" spans="1:102" ht="12.75">
      <c r="A79" s="523" t="str">
        <f>'Country Information'!F39</f>
        <v>Post-Circumcision - Normal</v>
      </c>
      <c r="C79" s="524"/>
      <c r="D79" s="525"/>
      <c r="E79" s="526"/>
      <c r="F79" s="527"/>
      <c r="G79" s="527"/>
      <c r="H79" s="520"/>
      <c r="I79" s="521"/>
      <c r="J79" s="521"/>
      <c r="K79" s="522"/>
      <c r="L79" s="155"/>
      <c r="M79" s="338"/>
      <c r="N79" s="155"/>
      <c r="O79" s="156"/>
      <c r="P79" s="157"/>
      <c r="Q79" s="125"/>
      <c r="R79" s="125"/>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row>
    <row r="80" spans="1:102" ht="12.75" customHeight="1">
      <c r="A80" s="513" t="str">
        <f>'Country Information'!F$39</f>
        <v>Post-Circumcision - Normal</v>
      </c>
      <c r="B80" s="453" t="str">
        <f>'Cost Inputs - Drug &amp; Supplies'!B18</f>
        <v>Gloves, examination, non-sterile, disposable, pair</v>
      </c>
      <c r="C80" s="488">
        <v>1</v>
      </c>
      <c r="D80" s="488">
        <v>0</v>
      </c>
      <c r="E80" s="489">
        <v>1</v>
      </c>
      <c r="F80" s="490">
        <v>1</v>
      </c>
      <c r="G80" s="490">
        <v>1</v>
      </c>
      <c r="H80" s="501">
        <f aca="true" t="shared" si="11" ref="H80:H90">E80*F80*G80</f>
        <v>1</v>
      </c>
      <c r="I80" s="491">
        <f aca="true" t="shared" si="12" ref="I80:I90">VLOOKUP(B80,Drug_prices,9,FALSE)</f>
        <v>0.05163934426229508</v>
      </c>
      <c r="J80" s="491">
        <f aca="true" t="shared" si="13" ref="J80:J90">H80*I80</f>
        <v>0.05163934426229508</v>
      </c>
      <c r="K80" s="491">
        <f aca="true" t="shared" si="14" ref="K80:K90">J80*C80</f>
        <v>0.05163934426229508</v>
      </c>
      <c r="L80" s="155">
        <f aca="true" t="shared" si="15" ref="L80:L90">J80*D80</f>
        <v>0</v>
      </c>
      <c r="M80" s="338">
        <f aca="true" t="shared" si="16" ref="M80:M90">IF(VLOOKUP(B80,Drug_prices,7)="x",K80,0)</f>
        <v>0</v>
      </c>
      <c r="N80" s="151">
        <f>IF(VLOOKUP(B80,Drug_prices,7)="x",L80,0)</f>
        <v>0</v>
      </c>
      <c r="O80" s="163"/>
      <c r="P80" s="157"/>
      <c r="Q80" s="125"/>
      <c r="R80" s="125"/>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row>
    <row r="81" spans="1:102" ht="12.75">
      <c r="A81" s="513" t="str">
        <f>'Country Information'!F$39</f>
        <v>Post-Circumcision - Normal</v>
      </c>
      <c r="B81" s="452" t="str">
        <f>'Cost Inputs - Drug &amp; Supplies'!B32</f>
        <v>Povidone antiseptic solution </v>
      </c>
      <c r="C81" s="488">
        <v>1</v>
      </c>
      <c r="D81" s="488">
        <v>0</v>
      </c>
      <c r="E81" s="493">
        <v>40</v>
      </c>
      <c r="F81" s="494">
        <v>1</v>
      </c>
      <c r="G81" s="494">
        <v>1</v>
      </c>
      <c r="H81" s="501">
        <f t="shared" si="11"/>
        <v>40</v>
      </c>
      <c r="I81" s="528">
        <f t="shared" si="12"/>
        <v>0.0036885245901639345</v>
      </c>
      <c r="J81" s="491">
        <f t="shared" si="13"/>
        <v>0.14754098360655737</v>
      </c>
      <c r="K81" s="491">
        <f t="shared" si="14"/>
        <v>0.14754098360655737</v>
      </c>
      <c r="L81" s="155">
        <f t="shared" si="15"/>
        <v>0</v>
      </c>
      <c r="M81" s="338">
        <f t="shared" si="16"/>
        <v>0</v>
      </c>
      <c r="N81" s="159"/>
      <c r="O81" s="160"/>
      <c r="P81" s="157"/>
      <c r="Q81" s="125"/>
      <c r="R81" s="125"/>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3"/>
      <c r="BW81" s="563"/>
      <c r="BX81" s="563"/>
      <c r="BY81" s="563"/>
      <c r="BZ81" s="563"/>
      <c r="CA81" s="563"/>
      <c r="CB81" s="563"/>
      <c r="CC81" s="563"/>
      <c r="CD81" s="563"/>
      <c r="CE81" s="563"/>
      <c r="CF81" s="563"/>
      <c r="CG81" s="563"/>
      <c r="CH81" s="563"/>
      <c r="CI81" s="563"/>
      <c r="CJ81" s="563"/>
      <c r="CK81" s="563"/>
      <c r="CL81" s="563"/>
      <c r="CM81" s="563"/>
      <c r="CN81" s="563"/>
      <c r="CO81" s="563"/>
      <c r="CP81" s="563"/>
      <c r="CQ81" s="563"/>
      <c r="CR81" s="563"/>
      <c r="CS81" s="563"/>
      <c r="CT81" s="563"/>
      <c r="CU81" s="563"/>
      <c r="CV81" s="563"/>
      <c r="CW81" s="563"/>
      <c r="CX81" s="563"/>
    </row>
    <row r="82" spans="1:102" ht="12.75">
      <c r="A82" s="513" t="str">
        <f>'Country Information'!F$39</f>
        <v>Post-Circumcision - Normal</v>
      </c>
      <c r="B82" s="460" t="str">
        <f>'Cost Inputs - Drug &amp; Supplies'!B34</f>
        <v>Salvalon</v>
      </c>
      <c r="C82" s="488">
        <v>0</v>
      </c>
      <c r="D82" s="488">
        <v>0</v>
      </c>
      <c r="E82" s="489">
        <v>0</v>
      </c>
      <c r="F82" s="490">
        <v>1</v>
      </c>
      <c r="G82" s="490">
        <v>1</v>
      </c>
      <c r="H82" s="501">
        <f t="shared" si="11"/>
        <v>0</v>
      </c>
      <c r="I82" s="491">
        <f t="shared" si="12"/>
        <v>0.005456967213114754</v>
      </c>
      <c r="J82" s="491">
        <f t="shared" si="13"/>
        <v>0</v>
      </c>
      <c r="K82" s="491">
        <f t="shared" si="14"/>
        <v>0</v>
      </c>
      <c r="L82" s="155">
        <f t="shared" si="15"/>
        <v>0</v>
      </c>
      <c r="M82" s="338">
        <f t="shared" si="16"/>
        <v>0</v>
      </c>
      <c r="N82" s="159"/>
      <c r="O82" s="160"/>
      <c r="P82" s="157"/>
      <c r="Q82" s="125"/>
      <c r="R82" s="125"/>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row>
    <row r="83" spans="1:102" ht="12.75">
      <c r="A83" s="513" t="str">
        <f>'Country Information'!F$39</f>
        <v>Post-Circumcision - Normal</v>
      </c>
      <c r="B83" s="455" t="str">
        <f>'Cost Inputs - Drug &amp; Supplies'!B13</f>
        <v>Gauze pad, sterile, 8ply 100x100mm</v>
      </c>
      <c r="C83" s="488">
        <v>1</v>
      </c>
      <c r="D83" s="488">
        <v>0</v>
      </c>
      <c r="E83" s="493">
        <v>15</v>
      </c>
      <c r="F83" s="494">
        <v>1</v>
      </c>
      <c r="G83" s="494">
        <v>1</v>
      </c>
      <c r="H83" s="501">
        <f t="shared" si="11"/>
        <v>15</v>
      </c>
      <c r="I83" s="491">
        <f t="shared" si="12"/>
        <v>0.006475409836065574</v>
      </c>
      <c r="J83" s="491">
        <f t="shared" si="13"/>
        <v>0.0971311475409836</v>
      </c>
      <c r="K83" s="491">
        <f t="shared" si="14"/>
        <v>0.0971311475409836</v>
      </c>
      <c r="L83" s="155">
        <f t="shared" si="15"/>
        <v>0</v>
      </c>
      <c r="M83" s="338">
        <f t="shared" si="16"/>
        <v>0</v>
      </c>
      <c r="N83" s="155">
        <f>IF(VLOOKUP(B83,Drug_prices,7)="x",L83,0)</f>
        <v>0</v>
      </c>
      <c r="O83" s="156"/>
      <c r="P83" s="157"/>
      <c r="Q83" s="125"/>
      <c r="R83" s="125"/>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row>
    <row r="84" spans="1:102" ht="12.75">
      <c r="A84" s="513" t="str">
        <f>'Country Information'!F$39</f>
        <v>Post-Circumcision - Normal</v>
      </c>
      <c r="B84" s="453" t="str">
        <f>'Cost Inputs - Drug &amp; Supplies'!B14</f>
        <v>Gauze pad, sterile, 12ply 76x76mm</v>
      </c>
      <c r="C84" s="514">
        <v>0</v>
      </c>
      <c r="D84" s="514">
        <v>0</v>
      </c>
      <c r="E84" s="489">
        <v>0</v>
      </c>
      <c r="F84" s="490">
        <v>1</v>
      </c>
      <c r="G84" s="490">
        <v>1</v>
      </c>
      <c r="H84" s="501">
        <f t="shared" si="11"/>
        <v>0</v>
      </c>
      <c r="I84" s="491">
        <f t="shared" si="12"/>
        <v>0.006475409836065574</v>
      </c>
      <c r="J84" s="491">
        <f t="shared" si="13"/>
        <v>0</v>
      </c>
      <c r="K84" s="491">
        <f t="shared" si="14"/>
        <v>0</v>
      </c>
      <c r="L84" s="155">
        <f t="shared" si="15"/>
        <v>0</v>
      </c>
      <c r="M84" s="338">
        <f t="shared" si="16"/>
        <v>0</v>
      </c>
      <c r="N84" s="151">
        <f>IF(VLOOKUP(B84,Drug_prices,7)="x",L84,0)</f>
        <v>0</v>
      </c>
      <c r="O84" s="163"/>
      <c r="P84" s="157"/>
      <c r="Q84" s="125"/>
      <c r="R84" s="125"/>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563"/>
      <c r="BZ84" s="563"/>
      <c r="CA84" s="563"/>
      <c r="CB84" s="563"/>
      <c r="CC84" s="563"/>
      <c r="CD84" s="563"/>
      <c r="CE84" s="563"/>
      <c r="CF84" s="563"/>
      <c r="CG84" s="563"/>
      <c r="CH84" s="563"/>
      <c r="CI84" s="563"/>
      <c r="CJ84" s="563"/>
      <c r="CK84" s="563"/>
      <c r="CL84" s="563"/>
      <c r="CM84" s="563"/>
      <c r="CN84" s="563"/>
      <c r="CO84" s="563"/>
      <c r="CP84" s="563"/>
      <c r="CQ84" s="563"/>
      <c r="CR84" s="563"/>
      <c r="CS84" s="563"/>
      <c r="CT84" s="563"/>
      <c r="CU84" s="563"/>
      <c r="CV84" s="563"/>
      <c r="CW84" s="563"/>
      <c r="CX84" s="563"/>
    </row>
    <row r="85" spans="1:102" ht="12.75">
      <c r="A85" s="513" t="str">
        <f>'Country Information'!F$39</f>
        <v>Post-Circumcision - Normal</v>
      </c>
      <c r="B85" s="452" t="str">
        <f>'Cost Inputs - Drug &amp; Supplies'!B16</f>
        <v>Gauze pad, Jelonet (paraffine vaseline)</v>
      </c>
      <c r="C85" s="488">
        <v>0</v>
      </c>
      <c r="D85" s="488">
        <v>0</v>
      </c>
      <c r="E85" s="493">
        <v>0</v>
      </c>
      <c r="F85" s="494">
        <v>1</v>
      </c>
      <c r="G85" s="494">
        <v>1</v>
      </c>
      <c r="H85" s="501">
        <f t="shared" si="11"/>
        <v>0</v>
      </c>
      <c r="I85" s="491">
        <f t="shared" si="12"/>
        <v>0.17418032786885246</v>
      </c>
      <c r="J85" s="491">
        <f t="shared" si="13"/>
        <v>0</v>
      </c>
      <c r="K85" s="491">
        <f t="shared" si="14"/>
        <v>0</v>
      </c>
      <c r="L85" s="155">
        <f t="shared" si="15"/>
        <v>0</v>
      </c>
      <c r="M85" s="338">
        <f t="shared" si="16"/>
        <v>0</v>
      </c>
      <c r="N85" s="155"/>
      <c r="O85" s="156"/>
      <c r="P85" s="157"/>
      <c r="Q85" s="125"/>
      <c r="R85" s="125"/>
      <c r="AL85" s="563"/>
      <c r="AM85" s="563"/>
      <c r="AN85" s="563"/>
      <c r="AO85" s="563"/>
      <c r="AP85" s="563"/>
      <c r="AQ85" s="563"/>
      <c r="AR85" s="563"/>
      <c r="AS85" s="563"/>
      <c r="AT85" s="563"/>
      <c r="AU85" s="563"/>
      <c r="AV85" s="563"/>
      <c r="AW85" s="563"/>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563"/>
      <c r="BV85" s="563"/>
      <c r="BW85" s="563"/>
      <c r="BX85" s="563"/>
      <c r="BY85" s="563"/>
      <c r="BZ85" s="563"/>
      <c r="CA85" s="563"/>
      <c r="CB85" s="563"/>
      <c r="CC85" s="563"/>
      <c r="CD85" s="563"/>
      <c r="CE85" s="563"/>
      <c r="CF85" s="563"/>
      <c r="CG85" s="563"/>
      <c r="CH85" s="563"/>
      <c r="CI85" s="563"/>
      <c r="CJ85" s="563"/>
      <c r="CK85" s="563"/>
      <c r="CL85" s="563"/>
      <c r="CM85" s="563"/>
      <c r="CN85" s="563"/>
      <c r="CO85" s="563"/>
      <c r="CP85" s="563"/>
      <c r="CQ85" s="563"/>
      <c r="CR85" s="563"/>
      <c r="CS85" s="563"/>
      <c r="CT85" s="563"/>
      <c r="CU85" s="563"/>
      <c r="CV85" s="563"/>
      <c r="CW85" s="563"/>
      <c r="CX85" s="563"/>
    </row>
    <row r="86" spans="1:102" ht="12.75">
      <c r="A86" s="513" t="str">
        <f>'Country Information'!F$39</f>
        <v>Post-Circumcision - Normal</v>
      </c>
      <c r="B86" s="452" t="str">
        <f>'Cost Inputs - Drug &amp; Supplies'!B15</f>
        <v>Gauze pad, Inadine</v>
      </c>
      <c r="C86" s="488">
        <v>1</v>
      </c>
      <c r="D86" s="488">
        <v>0</v>
      </c>
      <c r="E86" s="493">
        <v>1</v>
      </c>
      <c r="F86" s="494">
        <v>1</v>
      </c>
      <c r="G86" s="494">
        <v>1</v>
      </c>
      <c r="H86" s="501">
        <f t="shared" si="11"/>
        <v>1</v>
      </c>
      <c r="I86" s="491">
        <f t="shared" si="12"/>
        <v>0.17418032786885246</v>
      </c>
      <c r="J86" s="491">
        <f t="shared" si="13"/>
        <v>0.17418032786885246</v>
      </c>
      <c r="K86" s="491">
        <f t="shared" si="14"/>
        <v>0.17418032786885246</v>
      </c>
      <c r="L86" s="155">
        <f t="shared" si="15"/>
        <v>0</v>
      </c>
      <c r="M86" s="338">
        <f t="shared" si="16"/>
        <v>0</v>
      </c>
      <c r="N86" s="155"/>
      <c r="O86" s="156"/>
      <c r="P86" s="157"/>
      <c r="Q86" s="125"/>
      <c r="R86" s="125"/>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563"/>
      <c r="BT86" s="563"/>
      <c r="BU86" s="563"/>
      <c r="BV86" s="563"/>
      <c r="BW86" s="563"/>
      <c r="BX86" s="563"/>
      <c r="BY86" s="563"/>
      <c r="BZ86" s="563"/>
      <c r="CA86" s="563"/>
      <c r="CB86" s="563"/>
      <c r="CC86" s="563"/>
      <c r="CD86" s="563"/>
      <c r="CE86" s="563"/>
      <c r="CF86" s="563"/>
      <c r="CG86" s="563"/>
      <c r="CH86" s="563"/>
      <c r="CI86" s="563"/>
      <c r="CJ86" s="563"/>
      <c r="CK86" s="563"/>
      <c r="CL86" s="563"/>
      <c r="CM86" s="563"/>
      <c r="CN86" s="563"/>
      <c r="CO86" s="563"/>
      <c r="CP86" s="563"/>
      <c r="CQ86" s="563"/>
      <c r="CR86" s="563"/>
      <c r="CS86" s="563"/>
      <c r="CT86" s="563"/>
      <c r="CU86" s="563"/>
      <c r="CV86" s="563"/>
      <c r="CW86" s="563"/>
      <c r="CX86" s="563"/>
    </row>
    <row r="87" spans="1:102" ht="12.75">
      <c r="A87" s="513" t="str">
        <f>'Country Information'!F$39</f>
        <v>Post-Circumcision - Normal</v>
      </c>
      <c r="B87" s="452" t="str">
        <f>'Cost Inputs - Drug &amp; Supplies'!B26</f>
        <v>Micropore</v>
      </c>
      <c r="C87" s="488">
        <v>0.5</v>
      </c>
      <c r="D87" s="488">
        <v>0</v>
      </c>
      <c r="E87" s="493">
        <v>10</v>
      </c>
      <c r="F87" s="494">
        <v>1</v>
      </c>
      <c r="G87" s="494">
        <v>1</v>
      </c>
      <c r="H87" s="501">
        <f t="shared" si="11"/>
        <v>10</v>
      </c>
      <c r="I87" s="491">
        <f t="shared" si="12"/>
        <v>0.17092896174863387</v>
      </c>
      <c r="J87" s="491">
        <f t="shared" si="13"/>
        <v>1.7092896174863386</v>
      </c>
      <c r="K87" s="491">
        <f t="shared" si="14"/>
        <v>0.8546448087431693</v>
      </c>
      <c r="L87" s="155">
        <f t="shared" si="15"/>
        <v>0</v>
      </c>
      <c r="M87" s="338">
        <f t="shared" si="16"/>
        <v>0</v>
      </c>
      <c r="N87" s="155"/>
      <c r="O87" s="156"/>
      <c r="P87" s="157"/>
      <c r="Q87" s="125"/>
      <c r="R87" s="125"/>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c r="CI87" s="563"/>
      <c r="CJ87" s="563"/>
      <c r="CK87" s="563"/>
      <c r="CL87" s="563"/>
      <c r="CM87" s="563"/>
      <c r="CN87" s="563"/>
      <c r="CO87" s="563"/>
      <c r="CP87" s="563"/>
      <c r="CQ87" s="563"/>
      <c r="CR87" s="563"/>
      <c r="CS87" s="563"/>
      <c r="CT87" s="563"/>
      <c r="CU87" s="563"/>
      <c r="CV87" s="563"/>
      <c r="CW87" s="563"/>
      <c r="CX87" s="563"/>
    </row>
    <row r="88" spans="1:102" ht="12.75">
      <c r="A88" s="513" t="str">
        <f>'Country Information'!F$39</f>
        <v>Post-Circumcision - Normal</v>
      </c>
      <c r="B88" s="452" t="str">
        <f>'Cost Inputs - Drug &amp; Supplies'!B10</f>
        <v>Elastoplast/Dermaplast 25mm/9m</v>
      </c>
      <c r="C88" s="488">
        <v>0.5</v>
      </c>
      <c r="D88" s="488">
        <v>0</v>
      </c>
      <c r="E88" s="493">
        <v>10</v>
      </c>
      <c r="F88" s="494">
        <v>1</v>
      </c>
      <c r="G88" s="494">
        <v>1</v>
      </c>
      <c r="H88" s="501">
        <f t="shared" si="11"/>
        <v>10</v>
      </c>
      <c r="I88" s="491">
        <f t="shared" si="12"/>
        <v>0.17092896174863387</v>
      </c>
      <c r="J88" s="491">
        <f t="shared" si="13"/>
        <v>1.7092896174863386</v>
      </c>
      <c r="K88" s="491">
        <f t="shared" si="14"/>
        <v>0.8546448087431693</v>
      </c>
      <c r="L88" s="155">
        <f t="shared" si="15"/>
        <v>0</v>
      </c>
      <c r="M88" s="338">
        <f t="shared" si="16"/>
        <v>0</v>
      </c>
      <c r="N88" s="155"/>
      <c r="O88" s="156"/>
      <c r="P88" s="157"/>
      <c r="Q88" s="125"/>
      <c r="R88" s="125"/>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row>
    <row r="89" spans="1:102" ht="12.75">
      <c r="A89" s="513" t="str">
        <f>'Country Information'!F$39</f>
        <v>Post-Circumcision - Normal</v>
      </c>
      <c r="B89" s="452" t="str">
        <f>'Cost Inputs - Drug &amp; Supplies'!B45</f>
        <v>Tegaderm (3M) 1624</v>
      </c>
      <c r="C89" s="488">
        <v>0</v>
      </c>
      <c r="D89" s="488">
        <v>0</v>
      </c>
      <c r="E89" s="493">
        <v>0</v>
      </c>
      <c r="F89" s="494">
        <v>1</v>
      </c>
      <c r="G89" s="494">
        <v>1</v>
      </c>
      <c r="H89" s="501">
        <f t="shared" si="11"/>
        <v>0</v>
      </c>
      <c r="I89" s="491">
        <f t="shared" si="12"/>
        <v>4.377049180327869</v>
      </c>
      <c r="J89" s="491">
        <f t="shared" si="13"/>
        <v>0</v>
      </c>
      <c r="K89" s="491">
        <f t="shared" si="14"/>
        <v>0</v>
      </c>
      <c r="L89" s="155">
        <f t="shared" si="15"/>
        <v>0</v>
      </c>
      <c r="M89" s="338">
        <f t="shared" si="16"/>
        <v>0</v>
      </c>
      <c r="N89" s="155"/>
      <c r="O89" s="156"/>
      <c r="P89" s="157"/>
      <c r="Q89" s="125"/>
      <c r="R89" s="125"/>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row>
    <row r="90" spans="1:102" s="235" customFormat="1" ht="12.75">
      <c r="A90" s="513" t="str">
        <f>'Country Information'!F$39</f>
        <v>Post-Circumcision - Normal</v>
      </c>
      <c r="B90" s="515" t="str">
        <f>'Cost Inputs - Drug &amp; Supplies'!B7</f>
        <v>Bandage (elastic)</v>
      </c>
      <c r="C90" s="488">
        <v>0</v>
      </c>
      <c r="D90" s="488">
        <v>0</v>
      </c>
      <c r="E90" s="493">
        <v>0</v>
      </c>
      <c r="F90" s="494">
        <v>1</v>
      </c>
      <c r="G90" s="494">
        <v>1</v>
      </c>
      <c r="H90" s="501">
        <f t="shared" si="11"/>
        <v>0</v>
      </c>
      <c r="I90" s="491">
        <f t="shared" si="12"/>
        <v>0.0557832422586521</v>
      </c>
      <c r="J90" s="491">
        <f t="shared" si="13"/>
        <v>0</v>
      </c>
      <c r="K90" s="491">
        <f t="shared" si="14"/>
        <v>0</v>
      </c>
      <c r="L90" s="146">
        <f t="shared" si="15"/>
        <v>0</v>
      </c>
      <c r="M90" s="338">
        <f t="shared" si="16"/>
        <v>0</v>
      </c>
      <c r="N90" s="165"/>
      <c r="O90" s="147"/>
      <c r="P90" s="164"/>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row>
    <row r="91" spans="1:102" ht="12.75">
      <c r="A91" s="361" t="str">
        <f>'Country Information'!G39</f>
        <v>Complication - Hemorrhage</v>
      </c>
      <c r="C91" s="529"/>
      <c r="D91" s="530"/>
      <c r="E91" s="531"/>
      <c r="F91" s="532"/>
      <c r="G91" s="532"/>
      <c r="H91" s="533"/>
      <c r="I91" s="534"/>
      <c r="J91" s="534"/>
      <c r="K91" s="535"/>
      <c r="L91" s="155"/>
      <c r="M91" s="338"/>
      <c r="N91" s="155"/>
      <c r="O91" s="156"/>
      <c r="P91" s="157"/>
      <c r="Q91" s="125"/>
      <c r="R91" s="125"/>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563"/>
      <c r="CG91" s="563"/>
      <c r="CH91" s="563"/>
      <c r="CI91" s="563"/>
      <c r="CJ91" s="563"/>
      <c r="CK91" s="563"/>
      <c r="CL91" s="563"/>
      <c r="CM91" s="563"/>
      <c r="CN91" s="563"/>
      <c r="CO91" s="563"/>
      <c r="CP91" s="563"/>
      <c r="CQ91" s="563"/>
      <c r="CR91" s="563"/>
      <c r="CS91" s="563"/>
      <c r="CT91" s="563"/>
      <c r="CU91" s="563"/>
      <c r="CV91" s="563"/>
      <c r="CW91" s="563"/>
      <c r="CX91" s="563"/>
    </row>
    <row r="92" spans="1:102" ht="12.75" customHeight="1">
      <c r="A92" s="513" t="str">
        <f>'Country Information'!G$39</f>
        <v>Complication - Hemorrhage</v>
      </c>
      <c r="B92" s="453" t="str">
        <f>'Cost Inputs - Drug &amp; Supplies'!B17</f>
        <v>Gloves, surgeons, sterile disposable, pair</v>
      </c>
      <c r="C92" s="488">
        <v>1</v>
      </c>
      <c r="D92" s="488">
        <v>0</v>
      </c>
      <c r="E92" s="489">
        <v>4</v>
      </c>
      <c r="F92" s="490">
        <v>1</v>
      </c>
      <c r="G92" s="490">
        <v>1</v>
      </c>
      <c r="H92" s="501">
        <f aca="true" t="shared" si="17" ref="H92:H115">E92*F92*G92</f>
        <v>4</v>
      </c>
      <c r="I92" s="491">
        <f aca="true" t="shared" si="18" ref="I92:I115">VLOOKUP(B92,Drug_prices,9,FALSE)</f>
        <v>0.20765027322404372</v>
      </c>
      <c r="J92" s="491">
        <f aca="true" t="shared" si="19" ref="J92:J115">H92*I92</f>
        <v>0.8306010928961749</v>
      </c>
      <c r="K92" s="491">
        <f aca="true" t="shared" si="20" ref="K92:K115">J92*C92</f>
        <v>0.8306010928961749</v>
      </c>
      <c r="L92" s="155">
        <f aca="true" t="shared" si="21" ref="L92:L115">J92*D92</f>
        <v>0</v>
      </c>
      <c r="M92" s="338">
        <f aca="true" t="shared" si="22" ref="M92:M115">IF(VLOOKUP(B92,Drug_prices,7)="x",K92,0)</f>
        <v>0</v>
      </c>
      <c r="N92" s="151">
        <f>IF(VLOOKUP(B92,Drug_prices,7)="x",L92,0)</f>
        <v>0</v>
      </c>
      <c r="O92" s="163"/>
      <c r="P92" s="157"/>
      <c r="Q92" s="125"/>
      <c r="R92" s="125"/>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563"/>
      <c r="CG92" s="563"/>
      <c r="CH92" s="563"/>
      <c r="CI92" s="563"/>
      <c r="CJ92" s="563"/>
      <c r="CK92" s="563"/>
      <c r="CL92" s="563"/>
      <c r="CM92" s="563"/>
      <c r="CN92" s="563"/>
      <c r="CO92" s="563"/>
      <c r="CP92" s="563"/>
      <c r="CQ92" s="563"/>
      <c r="CR92" s="563"/>
      <c r="CS92" s="563"/>
      <c r="CT92" s="563"/>
      <c r="CU92" s="563"/>
      <c r="CV92" s="563"/>
      <c r="CW92" s="563"/>
      <c r="CX92" s="563"/>
    </row>
    <row r="93" spans="1:102" s="126" customFormat="1" ht="12.75">
      <c r="A93" s="513" t="str">
        <f>'Country Information'!G$39</f>
        <v>Complication - Hemorrhage</v>
      </c>
      <c r="B93" s="452" t="str">
        <f>'Cost Inputs - Drug &amp; Supplies'!B18</f>
        <v>Gloves, examination, non-sterile, disposable, pair</v>
      </c>
      <c r="C93" s="488">
        <v>1</v>
      </c>
      <c r="D93" s="488">
        <v>0</v>
      </c>
      <c r="E93" s="493">
        <v>1</v>
      </c>
      <c r="F93" s="494">
        <v>1</v>
      </c>
      <c r="G93" s="494">
        <v>1</v>
      </c>
      <c r="H93" s="501">
        <f t="shared" si="17"/>
        <v>1</v>
      </c>
      <c r="I93" s="491">
        <f t="shared" si="18"/>
        <v>0.05163934426229508</v>
      </c>
      <c r="J93" s="491">
        <f t="shared" si="19"/>
        <v>0.05163934426229508</v>
      </c>
      <c r="K93" s="491">
        <f t="shared" si="20"/>
        <v>0.05163934426229508</v>
      </c>
      <c r="L93" s="155">
        <f t="shared" si="21"/>
        <v>0</v>
      </c>
      <c r="M93" s="338">
        <f t="shared" si="22"/>
        <v>0</v>
      </c>
      <c r="N93" s="155">
        <f>IF(VLOOKUP(B93,Drug_prices,7)="x",L93,0)</f>
        <v>0</v>
      </c>
      <c r="O93" s="152"/>
      <c r="P93" s="157"/>
      <c r="AL93" s="563"/>
      <c r="AM93" s="563"/>
      <c r="AN93" s="563"/>
      <c r="AO93" s="563"/>
      <c r="AP93" s="563"/>
      <c r="AQ93" s="563"/>
      <c r="AR93" s="563"/>
      <c r="AS93" s="563"/>
      <c r="AT93" s="563"/>
      <c r="AU93" s="563"/>
      <c r="AV93" s="563"/>
      <c r="AW93" s="563"/>
      <c r="AX93" s="563"/>
      <c r="AY93" s="563"/>
      <c r="AZ93" s="563"/>
      <c r="BA93" s="563"/>
      <c r="BB93" s="563"/>
      <c r="BC93" s="563"/>
      <c r="BD93" s="563"/>
      <c r="BE93" s="563"/>
      <c r="BF93" s="563"/>
      <c r="BG93" s="563"/>
      <c r="BH93" s="563"/>
      <c r="BI93" s="563"/>
      <c r="BJ93" s="563"/>
      <c r="BK93" s="563"/>
      <c r="BL93" s="563"/>
      <c r="BM93" s="563"/>
      <c r="BN93" s="563"/>
      <c r="BO93" s="563"/>
      <c r="BP93" s="563"/>
      <c r="BQ93" s="563"/>
      <c r="BR93" s="563"/>
      <c r="BS93" s="563"/>
      <c r="BT93" s="563"/>
      <c r="BU93" s="563"/>
      <c r="BV93" s="563"/>
      <c r="BW93" s="563"/>
      <c r="BX93" s="563"/>
      <c r="BY93" s="563"/>
      <c r="BZ93" s="563"/>
      <c r="CA93" s="563"/>
      <c r="CB93" s="563"/>
      <c r="CC93" s="563"/>
      <c r="CD93" s="563"/>
      <c r="CE93" s="563"/>
      <c r="CF93" s="563"/>
      <c r="CG93" s="563"/>
      <c r="CH93" s="563"/>
      <c r="CI93" s="563"/>
      <c r="CJ93" s="563"/>
      <c r="CK93" s="563"/>
      <c r="CL93" s="563"/>
      <c r="CM93" s="563"/>
      <c r="CN93" s="563"/>
      <c r="CO93" s="563"/>
      <c r="CP93" s="563"/>
      <c r="CQ93" s="563"/>
      <c r="CR93" s="563"/>
      <c r="CS93" s="563"/>
      <c r="CT93" s="563"/>
      <c r="CU93" s="563"/>
      <c r="CV93" s="563"/>
      <c r="CW93" s="563"/>
      <c r="CX93" s="563"/>
    </row>
    <row r="94" spans="1:102" ht="12.75">
      <c r="A94" s="513" t="str">
        <f>'Country Information'!G$39</f>
        <v>Complication - Hemorrhage</v>
      </c>
      <c r="B94" s="455" t="str">
        <f>'Cost Inputs - Drug &amp; Supplies'!B29</f>
        <v>Surgical Mask</v>
      </c>
      <c r="C94" s="488">
        <v>1</v>
      </c>
      <c r="D94" s="488">
        <v>0</v>
      </c>
      <c r="E94" s="493">
        <v>3</v>
      </c>
      <c r="F94" s="494">
        <v>1</v>
      </c>
      <c r="G94" s="494">
        <v>1</v>
      </c>
      <c r="H94" s="501">
        <f t="shared" si="17"/>
        <v>3</v>
      </c>
      <c r="I94" s="491">
        <f t="shared" si="18"/>
        <v>0.03551912568306011</v>
      </c>
      <c r="J94" s="491">
        <f t="shared" si="19"/>
        <v>0.10655737704918032</v>
      </c>
      <c r="K94" s="491">
        <f t="shared" si="20"/>
        <v>0.10655737704918032</v>
      </c>
      <c r="L94" s="155">
        <f t="shared" si="21"/>
        <v>0</v>
      </c>
      <c r="M94" s="338">
        <f t="shared" si="22"/>
        <v>0</v>
      </c>
      <c r="N94" s="155"/>
      <c r="O94" s="156"/>
      <c r="P94" s="157"/>
      <c r="Q94" s="125"/>
      <c r="R94" s="125"/>
      <c r="AL94" s="563"/>
      <c r="AM94" s="563"/>
      <c r="AN94" s="563"/>
      <c r="AO94" s="563"/>
      <c r="AP94" s="563"/>
      <c r="AQ94" s="563"/>
      <c r="AR94" s="563"/>
      <c r="AS94" s="563"/>
      <c r="AT94" s="563"/>
      <c r="AU94" s="563"/>
      <c r="AV94" s="563"/>
      <c r="AW94" s="563"/>
      <c r="AX94" s="563"/>
      <c r="AY94" s="563"/>
      <c r="AZ94" s="563"/>
      <c r="BA94" s="563"/>
      <c r="BB94" s="563"/>
      <c r="BC94" s="563"/>
      <c r="BD94" s="563"/>
      <c r="BE94" s="563"/>
      <c r="BF94" s="563"/>
      <c r="BG94" s="563"/>
      <c r="BH94" s="563"/>
      <c r="BI94" s="563"/>
      <c r="BJ94" s="563"/>
      <c r="BK94" s="563"/>
      <c r="BL94" s="563"/>
      <c r="BM94" s="563"/>
      <c r="BN94" s="563"/>
      <c r="BO94" s="563"/>
      <c r="BP94" s="563"/>
      <c r="BQ94" s="563"/>
      <c r="BR94" s="563"/>
      <c r="BS94" s="563"/>
      <c r="BT94" s="563"/>
      <c r="BU94" s="563"/>
      <c r="BV94" s="563"/>
      <c r="BW94" s="563"/>
      <c r="BX94" s="563"/>
      <c r="BY94" s="563"/>
      <c r="BZ94" s="563"/>
      <c r="CA94" s="563"/>
      <c r="CB94" s="563"/>
      <c r="CC94" s="563"/>
      <c r="CD94" s="563"/>
      <c r="CE94" s="563"/>
      <c r="CF94" s="563"/>
      <c r="CG94" s="563"/>
      <c r="CH94" s="563"/>
      <c r="CI94" s="563"/>
      <c r="CJ94" s="563"/>
      <c r="CK94" s="563"/>
      <c r="CL94" s="563"/>
      <c r="CM94" s="563"/>
      <c r="CN94" s="563"/>
      <c r="CO94" s="563"/>
      <c r="CP94" s="563"/>
      <c r="CQ94" s="563"/>
      <c r="CR94" s="563"/>
      <c r="CS94" s="563"/>
      <c r="CT94" s="563"/>
      <c r="CU94" s="563"/>
      <c r="CV94" s="563"/>
      <c r="CW94" s="563"/>
      <c r="CX94" s="563"/>
    </row>
    <row r="95" spans="1:102" ht="12.75">
      <c r="A95" s="513" t="str">
        <f>'Country Information'!G$39</f>
        <v>Complication - Hemorrhage</v>
      </c>
      <c r="B95" s="455" t="str">
        <f>'Cost Inputs - Drug &amp; Supplies'!B35</f>
        <v>Surgical cap (disposable)</v>
      </c>
      <c r="C95" s="488">
        <v>1</v>
      </c>
      <c r="D95" s="488">
        <v>0</v>
      </c>
      <c r="E95" s="493">
        <v>3</v>
      </c>
      <c r="F95" s="494">
        <v>1</v>
      </c>
      <c r="G95" s="494">
        <v>1</v>
      </c>
      <c r="H95" s="501">
        <f t="shared" si="17"/>
        <v>3</v>
      </c>
      <c r="I95" s="491">
        <f t="shared" si="18"/>
        <v>0.3251366120218579</v>
      </c>
      <c r="J95" s="491">
        <f t="shared" si="19"/>
        <v>0.9754098360655736</v>
      </c>
      <c r="K95" s="491">
        <f t="shared" si="20"/>
        <v>0.9754098360655736</v>
      </c>
      <c r="L95" s="155">
        <f t="shared" si="21"/>
        <v>0</v>
      </c>
      <c r="M95" s="338">
        <f t="shared" si="22"/>
        <v>0</v>
      </c>
      <c r="N95" s="155"/>
      <c r="O95" s="156"/>
      <c r="P95" s="157"/>
      <c r="Q95" s="125"/>
      <c r="R95" s="125"/>
      <c r="AL95" s="563"/>
      <c r="AM95" s="563"/>
      <c r="AN95" s="563"/>
      <c r="AO95" s="563"/>
      <c r="AP95" s="563"/>
      <c r="AQ95" s="563"/>
      <c r="AR95" s="563"/>
      <c r="AS95" s="563"/>
      <c r="AT95" s="563"/>
      <c r="AU95" s="563"/>
      <c r="AV95" s="563"/>
      <c r="AW95" s="563"/>
      <c r="AX95" s="563"/>
      <c r="AY95" s="563"/>
      <c r="AZ95" s="563"/>
      <c r="BA95" s="563"/>
      <c r="BB95" s="563"/>
      <c r="BC95" s="563"/>
      <c r="BD95" s="563"/>
      <c r="BE95" s="563"/>
      <c r="BF95" s="563"/>
      <c r="BG95" s="563"/>
      <c r="BH95" s="563"/>
      <c r="BI95" s="563"/>
      <c r="BJ95" s="563"/>
      <c r="BK95" s="563"/>
      <c r="BL95" s="563"/>
      <c r="BM95" s="563"/>
      <c r="BN95" s="563"/>
      <c r="BO95" s="563"/>
      <c r="BP95" s="563"/>
      <c r="BQ95" s="563"/>
      <c r="BR95" s="563"/>
      <c r="BS95" s="563"/>
      <c r="BT95" s="563"/>
      <c r="BU95" s="563"/>
      <c r="BV95" s="563"/>
      <c r="BW95" s="563"/>
      <c r="BX95" s="563"/>
      <c r="BY95" s="563"/>
      <c r="BZ95" s="563"/>
      <c r="CA95" s="563"/>
      <c r="CB95" s="563"/>
      <c r="CC95" s="563"/>
      <c r="CD95" s="563"/>
      <c r="CE95" s="563"/>
      <c r="CF95" s="563"/>
      <c r="CG95" s="563"/>
      <c r="CH95" s="563"/>
      <c r="CI95" s="563"/>
      <c r="CJ95" s="563"/>
      <c r="CK95" s="563"/>
      <c r="CL95" s="563"/>
      <c r="CM95" s="563"/>
      <c r="CN95" s="563"/>
      <c r="CO95" s="563"/>
      <c r="CP95" s="563"/>
      <c r="CQ95" s="563"/>
      <c r="CR95" s="563"/>
      <c r="CS95" s="563"/>
      <c r="CT95" s="563"/>
      <c r="CU95" s="563"/>
      <c r="CV95" s="563"/>
      <c r="CW95" s="563"/>
      <c r="CX95" s="563"/>
    </row>
    <row r="96" spans="1:102" ht="12.75">
      <c r="A96" s="513" t="str">
        <f>'Country Information'!G$39</f>
        <v>Complication - Hemorrhage</v>
      </c>
      <c r="B96" s="457" t="str">
        <f>'Cost Inputs - Drug &amp; Supplies'!B20</f>
        <v>Goggles (for surgery)</v>
      </c>
      <c r="C96" s="488">
        <v>0</v>
      </c>
      <c r="D96" s="488">
        <v>0</v>
      </c>
      <c r="E96" s="493">
        <v>0</v>
      </c>
      <c r="F96" s="494">
        <v>1</v>
      </c>
      <c r="G96" s="494">
        <v>1</v>
      </c>
      <c r="H96" s="501">
        <f t="shared" si="17"/>
        <v>0</v>
      </c>
      <c r="I96" s="491">
        <f t="shared" si="18"/>
        <v>0</v>
      </c>
      <c r="J96" s="491">
        <f t="shared" si="19"/>
        <v>0</v>
      </c>
      <c r="K96" s="491">
        <f t="shared" si="20"/>
        <v>0</v>
      </c>
      <c r="L96" s="155">
        <f t="shared" si="21"/>
        <v>0</v>
      </c>
      <c r="M96" s="338">
        <f t="shared" si="22"/>
        <v>0</v>
      </c>
      <c r="N96" s="155"/>
      <c r="O96" s="156"/>
      <c r="P96" s="157"/>
      <c r="Q96" s="125"/>
      <c r="R96" s="125"/>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row>
    <row r="97" spans="1:102" ht="12.75">
      <c r="A97" s="513" t="str">
        <f>'Country Information'!G$39</f>
        <v>Complication - Hemorrhage</v>
      </c>
      <c r="B97" s="457" t="str">
        <f>'Cost Inputs - Drug &amp; Supplies'!B36</f>
        <v>Surgical scrub Betadine</v>
      </c>
      <c r="C97" s="488">
        <v>1</v>
      </c>
      <c r="D97" s="488">
        <v>0</v>
      </c>
      <c r="E97" s="493">
        <f>2*15</f>
        <v>30</v>
      </c>
      <c r="F97" s="494">
        <v>1</v>
      </c>
      <c r="G97" s="494">
        <v>1</v>
      </c>
      <c r="H97" s="501">
        <f t="shared" si="17"/>
        <v>30</v>
      </c>
      <c r="I97" s="491">
        <f t="shared" si="18"/>
        <v>0.018442622950819672</v>
      </c>
      <c r="J97" s="491">
        <f t="shared" si="19"/>
        <v>0.5532786885245902</v>
      </c>
      <c r="K97" s="491">
        <f t="shared" si="20"/>
        <v>0.5532786885245902</v>
      </c>
      <c r="L97" s="155">
        <f t="shared" si="21"/>
        <v>0</v>
      </c>
      <c r="M97" s="338">
        <f t="shared" si="22"/>
        <v>0</v>
      </c>
      <c r="N97" s="159"/>
      <c r="O97" s="160"/>
      <c r="P97" s="157"/>
      <c r="Q97" s="125"/>
      <c r="R97" s="125"/>
      <c r="AL97" s="563"/>
      <c r="AM97" s="563"/>
      <c r="AN97" s="563"/>
      <c r="AO97" s="563"/>
      <c r="AP97" s="563"/>
      <c r="AQ97" s="563"/>
      <c r="AR97" s="563"/>
      <c r="AS97" s="563"/>
      <c r="AT97" s="563"/>
      <c r="AU97" s="563"/>
      <c r="AV97" s="563"/>
      <c r="AW97" s="563"/>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row>
    <row r="98" spans="1:102" ht="12.75">
      <c r="A98" s="513" t="str">
        <f>'Country Information'!G$39</f>
        <v>Complication - Hemorrhage</v>
      </c>
      <c r="B98" s="457" t="str">
        <f>'Cost Inputs - Drug &amp; Supplies'!B21</f>
        <v>Hibiscrub</v>
      </c>
      <c r="C98" s="488">
        <v>0</v>
      </c>
      <c r="D98" s="488">
        <v>0</v>
      </c>
      <c r="E98" s="493">
        <v>0</v>
      </c>
      <c r="F98" s="494">
        <v>1</v>
      </c>
      <c r="G98" s="494">
        <v>1</v>
      </c>
      <c r="H98" s="501">
        <f t="shared" si="17"/>
        <v>0</v>
      </c>
      <c r="I98" s="491">
        <f t="shared" si="18"/>
        <v>0.0036885245901639345</v>
      </c>
      <c r="J98" s="491">
        <f>H98*I98</f>
        <v>0</v>
      </c>
      <c r="K98" s="491">
        <f>J98*C98</f>
        <v>0</v>
      </c>
      <c r="L98" s="155">
        <f>J98*D98</f>
        <v>0</v>
      </c>
      <c r="M98" s="338">
        <f t="shared" si="22"/>
        <v>0</v>
      </c>
      <c r="N98" s="159"/>
      <c r="O98" s="160"/>
      <c r="P98" s="157"/>
      <c r="Q98" s="125"/>
      <c r="R98" s="125"/>
      <c r="AL98" s="563"/>
      <c r="AM98" s="563"/>
      <c r="AN98" s="563"/>
      <c r="AO98" s="563"/>
      <c r="AP98" s="563"/>
      <c r="AQ98" s="563"/>
      <c r="AR98" s="563"/>
      <c r="AS98" s="563"/>
      <c r="AT98" s="563"/>
      <c r="AU98" s="563"/>
      <c r="AV98" s="563"/>
      <c r="AW98" s="563"/>
      <c r="AX98" s="563"/>
      <c r="AY98" s="563"/>
      <c r="AZ98" s="563"/>
      <c r="BA98" s="563"/>
      <c r="BB98" s="563"/>
      <c r="BC98" s="563"/>
      <c r="BD98" s="563"/>
      <c r="BE98" s="563"/>
      <c r="BF98" s="563"/>
      <c r="BG98" s="563"/>
      <c r="BH98" s="563"/>
      <c r="BI98" s="563"/>
      <c r="BJ98" s="563"/>
      <c r="BK98" s="563"/>
      <c r="BL98" s="563"/>
      <c r="BM98" s="563"/>
      <c r="BN98" s="563"/>
      <c r="BO98" s="563"/>
      <c r="BP98" s="563"/>
      <c r="BQ98" s="563"/>
      <c r="BR98" s="563"/>
      <c r="BS98" s="563"/>
      <c r="BT98" s="563"/>
      <c r="BU98" s="563"/>
      <c r="BV98" s="563"/>
      <c r="BW98" s="563"/>
      <c r="BX98" s="563"/>
      <c r="BY98" s="563"/>
      <c r="BZ98" s="563"/>
      <c r="CA98" s="563"/>
      <c r="CB98" s="563"/>
      <c r="CC98" s="563"/>
      <c r="CD98" s="563"/>
      <c r="CE98" s="563"/>
      <c r="CF98" s="563"/>
      <c r="CG98" s="563"/>
      <c r="CH98" s="563"/>
      <c r="CI98" s="563"/>
      <c r="CJ98" s="563"/>
      <c r="CK98" s="563"/>
      <c r="CL98" s="563"/>
      <c r="CM98" s="563"/>
      <c r="CN98" s="563"/>
      <c r="CO98" s="563"/>
      <c r="CP98" s="563"/>
      <c r="CQ98" s="563"/>
      <c r="CR98" s="563"/>
      <c r="CS98" s="563"/>
      <c r="CT98" s="563"/>
      <c r="CU98" s="563"/>
      <c r="CV98" s="563"/>
      <c r="CW98" s="563"/>
      <c r="CX98" s="563"/>
    </row>
    <row r="99" spans="1:102" ht="12.75">
      <c r="A99" s="513" t="str">
        <f>'Country Information'!G$39</f>
        <v>Complication - Hemorrhage</v>
      </c>
      <c r="B99" s="460" t="str">
        <f>'Cost Inputs - Drug &amp; Supplies'!B34</f>
        <v>Salvalon</v>
      </c>
      <c r="C99" s="488">
        <v>0</v>
      </c>
      <c r="D99" s="488">
        <v>0</v>
      </c>
      <c r="E99" s="493">
        <v>0</v>
      </c>
      <c r="F99" s="490">
        <v>1</v>
      </c>
      <c r="G99" s="490">
        <v>1</v>
      </c>
      <c r="H99" s="501">
        <f t="shared" si="17"/>
        <v>0</v>
      </c>
      <c r="I99" s="491">
        <f t="shared" si="18"/>
        <v>0.005456967213114754</v>
      </c>
      <c r="J99" s="491">
        <f>H99*I99</f>
        <v>0</v>
      </c>
      <c r="K99" s="491">
        <f>J99*C99</f>
        <v>0</v>
      </c>
      <c r="L99" s="155">
        <f>J99*D99</f>
        <v>0</v>
      </c>
      <c r="M99" s="338">
        <f t="shared" si="22"/>
        <v>0</v>
      </c>
      <c r="N99" s="159"/>
      <c r="O99" s="160"/>
      <c r="P99" s="157"/>
      <c r="Q99" s="125"/>
      <c r="R99" s="125"/>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c r="CO99" s="563"/>
      <c r="CP99" s="563"/>
      <c r="CQ99" s="563"/>
      <c r="CR99" s="563"/>
      <c r="CS99" s="563"/>
      <c r="CT99" s="563"/>
      <c r="CU99" s="563"/>
      <c r="CV99" s="563"/>
      <c r="CW99" s="563"/>
      <c r="CX99" s="563"/>
    </row>
    <row r="100" spans="1:102" ht="12.75">
      <c r="A100" s="513" t="str">
        <f>'Country Information'!G$39</f>
        <v>Complication - Hemorrhage</v>
      </c>
      <c r="B100" s="452" t="str">
        <f>'Cost Inputs - Drug &amp; Supplies'!B32</f>
        <v>Povidone antiseptic solution </v>
      </c>
      <c r="C100" s="488">
        <v>1</v>
      </c>
      <c r="D100" s="488">
        <v>0</v>
      </c>
      <c r="E100" s="493">
        <v>40</v>
      </c>
      <c r="F100" s="494">
        <v>1</v>
      </c>
      <c r="G100" s="494">
        <v>1</v>
      </c>
      <c r="H100" s="501">
        <f t="shared" si="17"/>
        <v>40</v>
      </c>
      <c r="I100" s="491">
        <f t="shared" si="18"/>
        <v>0.0036885245901639345</v>
      </c>
      <c r="J100" s="491">
        <f t="shared" si="19"/>
        <v>0.14754098360655737</v>
      </c>
      <c r="K100" s="491">
        <f t="shared" si="20"/>
        <v>0.14754098360655737</v>
      </c>
      <c r="L100" s="155">
        <f t="shared" si="21"/>
        <v>0</v>
      </c>
      <c r="M100" s="338">
        <f t="shared" si="22"/>
        <v>0</v>
      </c>
      <c r="N100" s="159"/>
      <c r="O100" s="160"/>
      <c r="P100" s="157"/>
      <c r="Q100" s="125"/>
      <c r="R100" s="125"/>
      <c r="AL100" s="563"/>
      <c r="AM100" s="563"/>
      <c r="AN100" s="563"/>
      <c r="AO100" s="563"/>
      <c r="AP100" s="563"/>
      <c r="AQ100" s="563"/>
      <c r="AR100" s="563"/>
      <c r="AS100" s="563"/>
      <c r="AT100" s="563"/>
      <c r="AU100" s="563"/>
      <c r="AV100" s="563"/>
      <c r="AW100" s="563"/>
      <c r="AX100" s="563"/>
      <c r="AY100" s="563"/>
      <c r="AZ100" s="563"/>
      <c r="BA100" s="563"/>
      <c r="BB100" s="563"/>
      <c r="BC100" s="563"/>
      <c r="BD100" s="563"/>
      <c r="BE100" s="563"/>
      <c r="BF100" s="563"/>
      <c r="BG100" s="563"/>
      <c r="BH100" s="563"/>
      <c r="BI100" s="563"/>
      <c r="BJ100" s="563"/>
      <c r="BK100" s="563"/>
      <c r="BL100" s="563"/>
      <c r="BM100" s="563"/>
      <c r="BN100" s="563"/>
      <c r="BO100" s="563"/>
      <c r="BP100" s="563"/>
      <c r="BQ100" s="563"/>
      <c r="BR100" s="563"/>
      <c r="BS100" s="563"/>
      <c r="BT100" s="563"/>
      <c r="BU100" s="563"/>
      <c r="BV100" s="563"/>
      <c r="BW100" s="563"/>
      <c r="BX100" s="563"/>
      <c r="BY100" s="563"/>
      <c r="BZ100" s="563"/>
      <c r="CA100" s="563"/>
      <c r="CB100" s="563"/>
      <c r="CC100" s="563"/>
      <c r="CD100" s="563"/>
      <c r="CE100" s="563"/>
      <c r="CF100" s="563"/>
      <c r="CG100" s="563"/>
      <c r="CH100" s="563"/>
      <c r="CI100" s="563"/>
      <c r="CJ100" s="563"/>
      <c r="CK100" s="563"/>
      <c r="CL100" s="563"/>
      <c r="CM100" s="563"/>
      <c r="CN100" s="563"/>
      <c r="CO100" s="563"/>
      <c r="CP100" s="563"/>
      <c r="CQ100" s="563"/>
      <c r="CR100" s="563"/>
      <c r="CS100" s="563"/>
      <c r="CT100" s="563"/>
      <c r="CU100" s="563"/>
      <c r="CV100" s="563"/>
      <c r="CW100" s="563"/>
      <c r="CX100" s="563"/>
    </row>
    <row r="101" spans="1:102" ht="12.75">
      <c r="A101" s="513" t="str">
        <f>'Country Information'!G$39</f>
        <v>Complication - Hemorrhage</v>
      </c>
      <c r="B101" s="455" t="str">
        <f>'Cost Inputs - Drug &amp; Supplies'!B13</f>
        <v>Gauze pad, sterile, 8ply 100x100mm</v>
      </c>
      <c r="C101" s="488">
        <v>1</v>
      </c>
      <c r="D101" s="488">
        <v>0</v>
      </c>
      <c r="E101" s="493">
        <v>4</v>
      </c>
      <c r="F101" s="494">
        <v>1</v>
      </c>
      <c r="G101" s="494">
        <v>1</v>
      </c>
      <c r="H101" s="501">
        <f t="shared" si="17"/>
        <v>4</v>
      </c>
      <c r="I101" s="491">
        <f t="shared" si="18"/>
        <v>0.006475409836065574</v>
      </c>
      <c r="J101" s="491">
        <f aca="true" t="shared" si="23" ref="J101:J106">H101*I101</f>
        <v>0.025901639344262296</v>
      </c>
      <c r="K101" s="491">
        <f aca="true" t="shared" si="24" ref="K101:K106">J101*C101</f>
        <v>0.025901639344262296</v>
      </c>
      <c r="L101" s="155">
        <f aca="true" t="shared" si="25" ref="L101:L106">J101*D101</f>
        <v>0</v>
      </c>
      <c r="M101" s="338">
        <f t="shared" si="22"/>
        <v>0</v>
      </c>
      <c r="N101" s="155">
        <f>IF(VLOOKUP(B101,Drug_prices,7)="x",L101,0)</f>
        <v>0</v>
      </c>
      <c r="O101" s="156"/>
      <c r="P101" s="157"/>
      <c r="Q101" s="125"/>
      <c r="R101" s="125"/>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563"/>
      <c r="BZ101" s="563"/>
      <c r="CA101" s="563"/>
      <c r="CB101" s="563"/>
      <c r="CC101" s="563"/>
      <c r="CD101" s="563"/>
      <c r="CE101" s="563"/>
      <c r="CF101" s="563"/>
      <c r="CG101" s="563"/>
      <c r="CH101" s="563"/>
      <c r="CI101" s="563"/>
      <c r="CJ101" s="563"/>
      <c r="CK101" s="563"/>
      <c r="CL101" s="563"/>
      <c r="CM101" s="563"/>
      <c r="CN101" s="563"/>
      <c r="CO101" s="563"/>
      <c r="CP101" s="563"/>
      <c r="CQ101" s="563"/>
      <c r="CR101" s="563"/>
      <c r="CS101" s="563"/>
      <c r="CT101" s="563"/>
      <c r="CU101" s="563"/>
      <c r="CV101" s="563"/>
      <c r="CW101" s="563"/>
      <c r="CX101" s="563"/>
    </row>
    <row r="102" spans="1:102" ht="12.75">
      <c r="A102" s="513" t="str">
        <f>'Country Information'!G$39</f>
        <v>Complication - Hemorrhage</v>
      </c>
      <c r="B102" s="453" t="str">
        <f>'Cost Inputs - Drug &amp; Supplies'!B14</f>
        <v>Gauze pad, sterile, 12ply 76x76mm</v>
      </c>
      <c r="C102" s="514">
        <v>0</v>
      </c>
      <c r="D102" s="514">
        <v>0</v>
      </c>
      <c r="E102" s="489">
        <v>0</v>
      </c>
      <c r="F102" s="490">
        <v>1</v>
      </c>
      <c r="G102" s="490">
        <v>1</v>
      </c>
      <c r="H102" s="501">
        <f t="shared" si="17"/>
        <v>0</v>
      </c>
      <c r="I102" s="491">
        <f t="shared" si="18"/>
        <v>0.006475409836065574</v>
      </c>
      <c r="J102" s="491">
        <f t="shared" si="23"/>
        <v>0</v>
      </c>
      <c r="K102" s="491">
        <f t="shared" si="24"/>
        <v>0</v>
      </c>
      <c r="L102" s="155">
        <f t="shared" si="25"/>
        <v>0</v>
      </c>
      <c r="M102" s="338">
        <f t="shared" si="22"/>
        <v>0</v>
      </c>
      <c r="N102" s="151">
        <f>IF(VLOOKUP(B102,Drug_prices,7)="x",L102,0)</f>
        <v>0</v>
      </c>
      <c r="O102" s="163"/>
      <c r="P102" s="157"/>
      <c r="Q102" s="125"/>
      <c r="R102" s="125"/>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563"/>
      <c r="BH102" s="563"/>
      <c r="BI102" s="563"/>
      <c r="BJ102" s="563"/>
      <c r="BK102" s="563"/>
      <c r="BL102" s="563"/>
      <c r="BM102" s="563"/>
      <c r="BN102" s="563"/>
      <c r="BO102" s="563"/>
      <c r="BP102" s="563"/>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row>
    <row r="103" spans="1:102" ht="12.75">
      <c r="A103" s="513" t="str">
        <f>'Country Information'!G$39</f>
        <v>Complication - Hemorrhage</v>
      </c>
      <c r="B103" s="452" t="str">
        <f>'Cost Inputs - Drug &amp; Supplies'!B25</f>
        <v>Lignocaine 2%, injection 20ml</v>
      </c>
      <c r="C103" s="514">
        <v>1</v>
      </c>
      <c r="D103" s="514">
        <v>0</v>
      </c>
      <c r="E103" s="493">
        <v>20</v>
      </c>
      <c r="F103" s="494">
        <v>1</v>
      </c>
      <c r="G103" s="494">
        <v>1</v>
      </c>
      <c r="H103" s="501">
        <f t="shared" si="17"/>
        <v>20</v>
      </c>
      <c r="I103" s="491">
        <f t="shared" si="18"/>
        <v>0.11810109289617485</v>
      </c>
      <c r="J103" s="491">
        <f t="shared" si="23"/>
        <v>2.362021857923497</v>
      </c>
      <c r="K103" s="491">
        <f t="shared" si="24"/>
        <v>2.362021857923497</v>
      </c>
      <c r="L103" s="155">
        <f t="shared" si="25"/>
        <v>0</v>
      </c>
      <c r="M103" s="338">
        <f t="shared" si="22"/>
        <v>0</v>
      </c>
      <c r="N103" s="155"/>
      <c r="O103" s="161"/>
      <c r="P103" s="157"/>
      <c r="Q103" s="125"/>
      <c r="R103" s="125"/>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row>
    <row r="104" spans="1:102" ht="12.75">
      <c r="A104" s="513" t="str">
        <f>'Country Information'!G$39</f>
        <v>Complication - Hemorrhage</v>
      </c>
      <c r="B104" s="452" t="str">
        <f>'Cost Inputs - Drug &amp; Supplies'!B28</f>
        <v>Needle 21 guage</v>
      </c>
      <c r="C104" s="514">
        <v>1</v>
      </c>
      <c r="D104" s="514">
        <v>0</v>
      </c>
      <c r="E104" s="493">
        <v>1</v>
      </c>
      <c r="F104" s="494">
        <v>1</v>
      </c>
      <c r="G104" s="494">
        <v>1</v>
      </c>
      <c r="H104" s="501">
        <f t="shared" si="17"/>
        <v>1</v>
      </c>
      <c r="I104" s="491">
        <f t="shared" si="18"/>
        <v>0.026366120218579234</v>
      </c>
      <c r="J104" s="491">
        <f t="shared" si="23"/>
        <v>0.026366120218579234</v>
      </c>
      <c r="K104" s="491">
        <f t="shared" si="24"/>
        <v>0.026366120218579234</v>
      </c>
      <c r="L104" s="155">
        <f t="shared" si="25"/>
        <v>0</v>
      </c>
      <c r="M104" s="338">
        <f t="shared" si="22"/>
        <v>0</v>
      </c>
      <c r="N104" s="155"/>
      <c r="O104" s="161"/>
      <c r="P104" s="157"/>
      <c r="Q104" s="125"/>
      <c r="R104" s="125"/>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row>
    <row r="105" spans="1:102" ht="12.75">
      <c r="A105" s="513" t="str">
        <f>'Country Information'!G$39</f>
        <v>Complication - Hemorrhage</v>
      </c>
      <c r="B105" s="452" t="str">
        <f>'Cost Inputs - Drug &amp; Supplies'!B27</f>
        <v>Needle 18 guage</v>
      </c>
      <c r="C105" s="514">
        <v>1</v>
      </c>
      <c r="D105" s="514">
        <v>0</v>
      </c>
      <c r="E105" s="493">
        <v>1</v>
      </c>
      <c r="F105" s="494">
        <v>1</v>
      </c>
      <c r="G105" s="494">
        <v>1</v>
      </c>
      <c r="H105" s="501">
        <f t="shared" si="17"/>
        <v>1</v>
      </c>
      <c r="I105" s="491">
        <f t="shared" si="18"/>
        <v>0.027117486338797816</v>
      </c>
      <c r="J105" s="491">
        <f t="shared" si="23"/>
        <v>0.027117486338797816</v>
      </c>
      <c r="K105" s="491">
        <f t="shared" si="24"/>
        <v>0.027117486338797816</v>
      </c>
      <c r="L105" s="155">
        <f t="shared" si="25"/>
        <v>0</v>
      </c>
      <c r="M105" s="338">
        <f t="shared" si="22"/>
        <v>0</v>
      </c>
      <c r="N105" s="155"/>
      <c r="O105" s="161"/>
      <c r="P105" s="157"/>
      <c r="Q105" s="125"/>
      <c r="R105" s="125"/>
      <c r="AL105" s="563"/>
      <c r="AM105" s="563"/>
      <c r="AN105" s="563"/>
      <c r="AO105" s="563"/>
      <c r="AP105" s="563"/>
      <c r="AQ105" s="563"/>
      <c r="AR105" s="563"/>
      <c r="AS105" s="563"/>
      <c r="AT105" s="563"/>
      <c r="AU105" s="563"/>
      <c r="AV105" s="563"/>
      <c r="AW105" s="563"/>
      <c r="AX105" s="563"/>
      <c r="AY105" s="563"/>
      <c r="AZ105" s="563"/>
      <c r="BA105" s="563"/>
      <c r="BB105" s="563"/>
      <c r="BC105" s="563"/>
      <c r="BD105" s="563"/>
      <c r="BE105" s="563"/>
      <c r="BF105" s="563"/>
      <c r="BG105" s="563"/>
      <c r="BH105" s="563"/>
      <c r="BI105" s="563"/>
      <c r="BJ105" s="563"/>
      <c r="BK105" s="563"/>
      <c r="BL105" s="563"/>
      <c r="BM105" s="563"/>
      <c r="BN105" s="563"/>
      <c r="BO105" s="563"/>
      <c r="BP105" s="563"/>
      <c r="BQ105" s="563"/>
      <c r="BR105" s="563"/>
      <c r="BS105" s="563"/>
      <c r="BT105" s="563"/>
      <c r="BU105" s="563"/>
      <c r="BV105" s="563"/>
      <c r="BW105" s="563"/>
      <c r="BX105" s="563"/>
      <c r="BY105" s="563"/>
      <c r="BZ105" s="563"/>
      <c r="CA105" s="563"/>
      <c r="CB105" s="563"/>
      <c r="CC105" s="563"/>
      <c r="CD105" s="563"/>
      <c r="CE105" s="563"/>
      <c r="CF105" s="563"/>
      <c r="CG105" s="563"/>
      <c r="CH105" s="563"/>
      <c r="CI105" s="563"/>
      <c r="CJ105" s="563"/>
      <c r="CK105" s="563"/>
      <c r="CL105" s="563"/>
      <c r="CM105" s="563"/>
      <c r="CN105" s="563"/>
      <c r="CO105" s="563"/>
      <c r="CP105" s="563"/>
      <c r="CQ105" s="563"/>
      <c r="CR105" s="563"/>
      <c r="CS105" s="563"/>
      <c r="CT105" s="563"/>
      <c r="CU105" s="563"/>
      <c r="CV105" s="563"/>
      <c r="CW105" s="563"/>
      <c r="CX105" s="563"/>
    </row>
    <row r="106" spans="1:102" ht="12.75">
      <c r="A106" s="513" t="str">
        <f>'Country Information'!G$39</f>
        <v>Complication - Hemorrhage</v>
      </c>
      <c r="B106" s="452" t="str">
        <f>'Cost Inputs - Drug &amp; Supplies'!B8</f>
        <v>Blade, 22, 23 or 24</v>
      </c>
      <c r="C106" s="514">
        <v>1</v>
      </c>
      <c r="D106" s="514">
        <v>0</v>
      </c>
      <c r="E106" s="493">
        <v>1</v>
      </c>
      <c r="F106" s="494">
        <v>1</v>
      </c>
      <c r="G106" s="494">
        <v>1</v>
      </c>
      <c r="H106" s="501">
        <f t="shared" si="17"/>
        <v>1</v>
      </c>
      <c r="I106" s="491">
        <f t="shared" si="18"/>
        <v>0.02459016393442623</v>
      </c>
      <c r="J106" s="491">
        <f t="shared" si="23"/>
        <v>0.02459016393442623</v>
      </c>
      <c r="K106" s="491">
        <f t="shared" si="24"/>
        <v>0.02459016393442623</v>
      </c>
      <c r="L106" s="155">
        <f t="shared" si="25"/>
        <v>0</v>
      </c>
      <c r="M106" s="338">
        <f t="shared" si="22"/>
        <v>0</v>
      </c>
      <c r="N106" s="155"/>
      <c r="O106" s="156"/>
      <c r="P106" s="157"/>
      <c r="Q106" s="125"/>
      <c r="R106" s="125"/>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c r="CO106" s="563"/>
      <c r="CP106" s="563"/>
      <c r="CQ106" s="563"/>
      <c r="CR106" s="563"/>
      <c r="CS106" s="563"/>
      <c r="CT106" s="563"/>
      <c r="CU106" s="563"/>
      <c r="CV106" s="563"/>
      <c r="CW106" s="563"/>
      <c r="CX106" s="563"/>
    </row>
    <row r="107" spans="1:102" ht="12.75">
      <c r="A107" s="513" t="str">
        <f>'Country Information'!G$39</f>
        <v>Complication - Hemorrhage</v>
      </c>
      <c r="B107" s="455" t="str">
        <f>'Cost Inputs - Drug &amp; Supplies'!B37</f>
        <v>Suture, catgut chromic 4/0, 150cm</v>
      </c>
      <c r="C107" s="488">
        <v>1</v>
      </c>
      <c r="D107" s="488">
        <v>0</v>
      </c>
      <c r="E107" s="493">
        <v>2</v>
      </c>
      <c r="F107" s="494">
        <v>1</v>
      </c>
      <c r="G107" s="494">
        <v>1</v>
      </c>
      <c r="H107" s="501">
        <f t="shared" si="17"/>
        <v>2</v>
      </c>
      <c r="I107" s="491">
        <f t="shared" si="18"/>
        <v>0.6816939890710382</v>
      </c>
      <c r="J107" s="491">
        <f t="shared" si="19"/>
        <v>1.3633879781420764</v>
      </c>
      <c r="K107" s="491">
        <f t="shared" si="20"/>
        <v>1.3633879781420764</v>
      </c>
      <c r="L107" s="155">
        <f t="shared" si="21"/>
        <v>0</v>
      </c>
      <c r="M107" s="338">
        <f t="shared" si="22"/>
        <v>0</v>
      </c>
      <c r="N107" s="155">
        <f>IF(VLOOKUP(B107,Drug_prices,7)="x",L107,0)</f>
        <v>0</v>
      </c>
      <c r="O107" s="163"/>
      <c r="P107" s="157"/>
      <c r="Q107" s="125"/>
      <c r="R107" s="125"/>
      <c r="AL107" s="563"/>
      <c r="AM107" s="563"/>
      <c r="AN107" s="563"/>
      <c r="AO107" s="563"/>
      <c r="AP107" s="563"/>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3"/>
      <c r="BN107" s="563"/>
      <c r="BO107" s="563"/>
      <c r="BP107" s="563"/>
      <c r="BQ107" s="563"/>
      <c r="BR107" s="563"/>
      <c r="BS107" s="563"/>
      <c r="BT107" s="563"/>
      <c r="BU107" s="563"/>
      <c r="BV107" s="563"/>
      <c r="BW107" s="563"/>
      <c r="BX107" s="563"/>
      <c r="BY107" s="563"/>
      <c r="BZ107" s="563"/>
      <c r="CA107" s="563"/>
      <c r="CB107" s="563"/>
      <c r="CC107" s="563"/>
      <c r="CD107" s="563"/>
      <c r="CE107" s="563"/>
      <c r="CF107" s="563"/>
      <c r="CG107" s="563"/>
      <c r="CH107" s="563"/>
      <c r="CI107" s="563"/>
      <c r="CJ107" s="563"/>
      <c r="CK107" s="563"/>
      <c r="CL107" s="563"/>
      <c r="CM107" s="563"/>
      <c r="CN107" s="563"/>
      <c r="CO107" s="563"/>
      <c r="CP107" s="563"/>
      <c r="CQ107" s="563"/>
      <c r="CR107" s="563"/>
      <c r="CS107" s="563"/>
      <c r="CT107" s="563"/>
      <c r="CU107" s="563"/>
      <c r="CV107" s="563"/>
      <c r="CW107" s="563"/>
      <c r="CX107" s="563"/>
    </row>
    <row r="108" spans="1:102" ht="12.75">
      <c r="A108" s="513" t="str">
        <f>'Country Information'!G$39</f>
        <v>Complication - Hemorrhage</v>
      </c>
      <c r="B108" s="455" t="str">
        <f>'Cost Inputs - Drug &amp; Supplies'!B38</f>
        <v>Suture, catgut chromic 3/0, 150cm</v>
      </c>
      <c r="C108" s="488">
        <v>0</v>
      </c>
      <c r="D108" s="488">
        <v>0</v>
      </c>
      <c r="E108" s="493">
        <v>0</v>
      </c>
      <c r="F108" s="494">
        <v>1</v>
      </c>
      <c r="G108" s="494">
        <v>1</v>
      </c>
      <c r="H108" s="501">
        <f t="shared" si="17"/>
        <v>0</v>
      </c>
      <c r="I108" s="491">
        <f t="shared" si="18"/>
        <v>7.2363387978142075</v>
      </c>
      <c r="J108" s="491">
        <f>H108*I108</f>
        <v>0</v>
      </c>
      <c r="K108" s="491">
        <f>J108*C108</f>
        <v>0</v>
      </c>
      <c r="L108" s="155">
        <f>J108*D108</f>
        <v>0</v>
      </c>
      <c r="M108" s="338">
        <f t="shared" si="22"/>
        <v>0</v>
      </c>
      <c r="N108" s="155">
        <f>IF(VLOOKUP(B108,Drug_prices,7)="x",L108,0)</f>
        <v>0</v>
      </c>
      <c r="O108" s="163"/>
      <c r="P108" s="157"/>
      <c r="Q108" s="125"/>
      <c r="R108" s="125"/>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F108" s="563"/>
      <c r="BG108" s="563"/>
      <c r="BH108" s="563"/>
      <c r="BI108" s="563"/>
      <c r="BJ108" s="563"/>
      <c r="BK108" s="563"/>
      <c r="BL108" s="563"/>
      <c r="BM108" s="563"/>
      <c r="BN108" s="563"/>
      <c r="BO108" s="563"/>
      <c r="BP108" s="563"/>
      <c r="BQ108" s="563"/>
      <c r="BR108" s="563"/>
      <c r="BS108" s="563"/>
      <c r="BT108" s="563"/>
      <c r="BU108" s="563"/>
      <c r="BV108" s="563"/>
      <c r="BW108" s="563"/>
      <c r="BX108" s="563"/>
      <c r="BY108" s="563"/>
      <c r="BZ108" s="563"/>
      <c r="CA108" s="563"/>
      <c r="CB108" s="563"/>
      <c r="CC108" s="563"/>
      <c r="CD108" s="563"/>
      <c r="CE108" s="563"/>
      <c r="CF108" s="563"/>
      <c r="CG108" s="563"/>
      <c r="CH108" s="563"/>
      <c r="CI108" s="563"/>
      <c r="CJ108" s="563"/>
      <c r="CK108" s="563"/>
      <c r="CL108" s="563"/>
      <c r="CM108" s="563"/>
      <c r="CN108" s="563"/>
      <c r="CO108" s="563"/>
      <c r="CP108" s="563"/>
      <c r="CQ108" s="563"/>
      <c r="CR108" s="563"/>
      <c r="CS108" s="563"/>
      <c r="CT108" s="563"/>
      <c r="CU108" s="563"/>
      <c r="CV108" s="563"/>
      <c r="CW108" s="563"/>
      <c r="CX108" s="563"/>
    </row>
    <row r="109" spans="1:102" ht="12.75">
      <c r="A109" s="513" t="str">
        <f>'Country Information'!G$39</f>
        <v>Complication - Hemorrhage</v>
      </c>
      <c r="B109" s="455" t="str">
        <f>'Cost Inputs - Drug &amp; Supplies'!B40</f>
        <v>Suture, silk, 2 x 0.75m</v>
      </c>
      <c r="C109" s="488">
        <v>0</v>
      </c>
      <c r="D109" s="488">
        <v>0</v>
      </c>
      <c r="E109" s="493">
        <v>0</v>
      </c>
      <c r="F109" s="494">
        <v>1</v>
      </c>
      <c r="G109" s="494">
        <v>1</v>
      </c>
      <c r="H109" s="501">
        <f t="shared" si="17"/>
        <v>0</v>
      </c>
      <c r="I109" s="491">
        <f t="shared" si="18"/>
        <v>5.106557377049181</v>
      </c>
      <c r="J109" s="491">
        <f>H109*I109</f>
        <v>0</v>
      </c>
      <c r="K109" s="491">
        <f>J109*C109</f>
        <v>0</v>
      </c>
      <c r="L109" s="155">
        <f>J109*D109</f>
        <v>0</v>
      </c>
      <c r="M109" s="338">
        <f t="shared" si="22"/>
        <v>0</v>
      </c>
      <c r="N109" s="155">
        <f>IF(VLOOKUP(B109,Drug_prices,7)="x",L109,0)</f>
        <v>0</v>
      </c>
      <c r="O109" s="156"/>
      <c r="P109" s="157"/>
      <c r="Q109" s="125"/>
      <c r="R109" s="125"/>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3"/>
      <c r="BP109" s="563"/>
      <c r="BQ109" s="563"/>
      <c r="BR109" s="563"/>
      <c r="BS109" s="563"/>
      <c r="BT109" s="563"/>
      <c r="BU109" s="563"/>
      <c r="BV109" s="563"/>
      <c r="BW109" s="563"/>
      <c r="BX109" s="563"/>
      <c r="BY109" s="563"/>
      <c r="BZ109" s="563"/>
      <c r="CA109" s="563"/>
      <c r="CB109" s="563"/>
      <c r="CC109" s="563"/>
      <c r="CD109" s="563"/>
      <c r="CE109" s="563"/>
      <c r="CF109" s="563"/>
      <c r="CG109" s="563"/>
      <c r="CH109" s="563"/>
      <c r="CI109" s="563"/>
      <c r="CJ109" s="563"/>
      <c r="CK109" s="563"/>
      <c r="CL109" s="563"/>
      <c r="CM109" s="563"/>
      <c r="CN109" s="563"/>
      <c r="CO109" s="563"/>
      <c r="CP109" s="563"/>
      <c r="CQ109" s="563"/>
      <c r="CR109" s="563"/>
      <c r="CS109" s="563"/>
      <c r="CT109" s="563"/>
      <c r="CU109" s="563"/>
      <c r="CV109" s="563"/>
      <c r="CW109" s="563"/>
      <c r="CX109" s="563"/>
    </row>
    <row r="110" spans="1:102" ht="12.75">
      <c r="A110" s="513" t="str">
        <f>'Country Information'!G$39</f>
        <v>Complication - Hemorrhage</v>
      </c>
      <c r="B110" s="452" t="str">
        <f>'Cost Inputs - Drug &amp; Supplies'!B16</f>
        <v>Gauze pad, Jelonet (paraffine vaseline)</v>
      </c>
      <c r="C110" s="488">
        <v>0</v>
      </c>
      <c r="D110" s="488">
        <v>0</v>
      </c>
      <c r="E110" s="493">
        <v>0</v>
      </c>
      <c r="F110" s="494">
        <v>1</v>
      </c>
      <c r="G110" s="494">
        <v>1</v>
      </c>
      <c r="H110" s="501">
        <f t="shared" si="17"/>
        <v>0</v>
      </c>
      <c r="I110" s="491">
        <f t="shared" si="18"/>
        <v>0.17418032786885246</v>
      </c>
      <c r="J110" s="491">
        <f t="shared" si="19"/>
        <v>0</v>
      </c>
      <c r="K110" s="491">
        <f t="shared" si="20"/>
        <v>0</v>
      </c>
      <c r="L110" s="155">
        <f t="shared" si="21"/>
        <v>0</v>
      </c>
      <c r="M110" s="338">
        <f t="shared" si="22"/>
        <v>0</v>
      </c>
      <c r="N110" s="155"/>
      <c r="O110" s="156"/>
      <c r="P110" s="157"/>
      <c r="Q110" s="125"/>
      <c r="R110" s="125"/>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row>
    <row r="111" spans="1:102" ht="12.75">
      <c r="A111" s="513" t="str">
        <f>'Country Information'!G$39</f>
        <v>Complication - Hemorrhage</v>
      </c>
      <c r="B111" s="452" t="str">
        <f>'Cost Inputs - Drug &amp; Supplies'!B15</f>
        <v>Gauze pad, Inadine</v>
      </c>
      <c r="C111" s="488">
        <v>1</v>
      </c>
      <c r="D111" s="488">
        <v>0</v>
      </c>
      <c r="E111" s="493">
        <v>1</v>
      </c>
      <c r="F111" s="494">
        <v>1</v>
      </c>
      <c r="G111" s="494">
        <v>1</v>
      </c>
      <c r="H111" s="501">
        <f t="shared" si="17"/>
        <v>1</v>
      </c>
      <c r="I111" s="491">
        <f t="shared" si="18"/>
        <v>0.17418032786885246</v>
      </c>
      <c r="J111" s="491">
        <f t="shared" si="19"/>
        <v>0.17418032786885246</v>
      </c>
      <c r="K111" s="491">
        <f t="shared" si="20"/>
        <v>0.17418032786885246</v>
      </c>
      <c r="L111" s="155">
        <f t="shared" si="21"/>
        <v>0</v>
      </c>
      <c r="M111" s="338">
        <f t="shared" si="22"/>
        <v>0</v>
      </c>
      <c r="N111" s="155"/>
      <c r="O111" s="156"/>
      <c r="P111" s="157"/>
      <c r="Q111" s="125"/>
      <c r="R111" s="125"/>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row>
    <row r="112" spans="1:102" ht="12.75">
      <c r="A112" s="513" t="str">
        <f>'Country Information'!G$39</f>
        <v>Complication - Hemorrhage</v>
      </c>
      <c r="B112" s="452" t="str">
        <f>'Cost Inputs - Drug &amp; Supplies'!B10</f>
        <v>Elastoplast/Dermaplast 25mm/9m</v>
      </c>
      <c r="C112" s="488">
        <v>0.5</v>
      </c>
      <c r="D112" s="488">
        <v>0</v>
      </c>
      <c r="E112" s="493">
        <v>10</v>
      </c>
      <c r="F112" s="494">
        <v>1</v>
      </c>
      <c r="G112" s="494">
        <v>1</v>
      </c>
      <c r="H112" s="501">
        <f t="shared" si="17"/>
        <v>10</v>
      </c>
      <c r="I112" s="491">
        <f t="shared" si="18"/>
        <v>0.17092896174863387</v>
      </c>
      <c r="J112" s="491">
        <f>H112*I112</f>
        <v>1.7092896174863386</v>
      </c>
      <c r="K112" s="491">
        <f>J112*C112</f>
        <v>0.8546448087431693</v>
      </c>
      <c r="L112" s="155">
        <f>J112*D112</f>
        <v>0</v>
      </c>
      <c r="M112" s="338">
        <f t="shared" si="22"/>
        <v>0</v>
      </c>
      <c r="N112" s="155"/>
      <c r="O112" s="156"/>
      <c r="P112" s="157"/>
      <c r="Q112" s="125"/>
      <c r="R112" s="125"/>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row>
    <row r="113" spans="1:102" ht="12.75">
      <c r="A113" s="513" t="str">
        <f>'Country Information'!G$39</f>
        <v>Complication - Hemorrhage</v>
      </c>
      <c r="B113" s="452" t="str">
        <f>'Cost Inputs - Drug &amp; Supplies'!B26</f>
        <v>Micropore</v>
      </c>
      <c r="C113" s="488">
        <v>0.5</v>
      </c>
      <c r="D113" s="488">
        <v>0</v>
      </c>
      <c r="E113" s="493">
        <v>10</v>
      </c>
      <c r="F113" s="494">
        <v>1</v>
      </c>
      <c r="G113" s="494">
        <v>1</v>
      </c>
      <c r="H113" s="501">
        <f t="shared" si="17"/>
        <v>10</v>
      </c>
      <c r="I113" s="491">
        <f t="shared" si="18"/>
        <v>0.17092896174863387</v>
      </c>
      <c r="J113" s="491">
        <f>H113*I113</f>
        <v>1.7092896174863386</v>
      </c>
      <c r="K113" s="491">
        <f>J113*C113</f>
        <v>0.8546448087431693</v>
      </c>
      <c r="L113" s="155">
        <f>J113*D113</f>
        <v>0</v>
      </c>
      <c r="M113" s="338">
        <f t="shared" si="22"/>
        <v>0</v>
      </c>
      <c r="N113" s="155"/>
      <c r="O113" s="156"/>
      <c r="P113" s="157"/>
      <c r="Q113" s="125"/>
      <c r="R113" s="125"/>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row>
    <row r="114" spans="1:102" ht="12.75">
      <c r="A114" s="513" t="str">
        <f>'Country Information'!G$39</f>
        <v>Complication - Hemorrhage</v>
      </c>
      <c r="B114" s="452" t="str">
        <f>'Cost Inputs - Drug &amp; Supplies'!B45</f>
        <v>Tegaderm (3M) 1624</v>
      </c>
      <c r="C114" s="488">
        <v>0</v>
      </c>
      <c r="D114" s="488">
        <v>0</v>
      </c>
      <c r="E114" s="493">
        <v>1</v>
      </c>
      <c r="F114" s="494">
        <v>1</v>
      </c>
      <c r="G114" s="494">
        <v>1</v>
      </c>
      <c r="H114" s="501">
        <f t="shared" si="17"/>
        <v>1</v>
      </c>
      <c r="I114" s="491">
        <f t="shared" si="18"/>
        <v>4.377049180327869</v>
      </c>
      <c r="J114" s="491">
        <f t="shared" si="19"/>
        <v>4.377049180327869</v>
      </c>
      <c r="K114" s="491">
        <f t="shared" si="20"/>
        <v>0</v>
      </c>
      <c r="L114" s="155">
        <f t="shared" si="21"/>
        <v>0</v>
      </c>
      <c r="M114" s="338">
        <f t="shared" si="22"/>
        <v>0</v>
      </c>
      <c r="N114" s="155"/>
      <c r="O114" s="156"/>
      <c r="P114" s="157"/>
      <c r="Q114" s="125"/>
      <c r="R114" s="125"/>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row>
    <row r="115" spans="1:102" s="235" customFormat="1" ht="12.75">
      <c r="A115" s="513" t="str">
        <f>'Country Information'!G$39</f>
        <v>Complication - Hemorrhage</v>
      </c>
      <c r="B115" s="515" t="str">
        <f>'Cost Inputs - Drug &amp; Supplies'!B7</f>
        <v>Bandage (elastic)</v>
      </c>
      <c r="C115" s="488">
        <v>1</v>
      </c>
      <c r="D115" s="488">
        <v>0</v>
      </c>
      <c r="E115" s="493">
        <v>1</v>
      </c>
      <c r="F115" s="494">
        <v>1</v>
      </c>
      <c r="G115" s="494">
        <v>1</v>
      </c>
      <c r="H115" s="501">
        <f t="shared" si="17"/>
        <v>1</v>
      </c>
      <c r="I115" s="491">
        <f t="shared" si="18"/>
        <v>0.0557832422586521</v>
      </c>
      <c r="J115" s="491">
        <f t="shared" si="19"/>
        <v>0.0557832422586521</v>
      </c>
      <c r="K115" s="491">
        <f t="shared" si="20"/>
        <v>0.0557832422586521</v>
      </c>
      <c r="L115" s="146">
        <f t="shared" si="21"/>
        <v>0</v>
      </c>
      <c r="M115" s="338">
        <f t="shared" si="22"/>
        <v>0</v>
      </c>
      <c r="N115" s="165"/>
      <c r="O115" s="147"/>
      <c r="P115" s="164"/>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row>
    <row r="116" spans="1:102" ht="12.75">
      <c r="A116" s="361" t="str">
        <f>'Country Information'!H39</f>
        <v>Complication - Sepsis</v>
      </c>
      <c r="C116" s="536"/>
      <c r="D116" s="537"/>
      <c r="E116" s="538"/>
      <c r="F116" s="538"/>
      <c r="G116" s="538"/>
      <c r="H116" s="520"/>
      <c r="I116" s="521"/>
      <c r="J116" s="521"/>
      <c r="K116" s="522"/>
      <c r="L116" s="155"/>
      <c r="M116" s="338"/>
      <c r="N116" s="126"/>
      <c r="O116" s="150"/>
      <c r="P116" s="157"/>
      <c r="Q116" s="125"/>
      <c r="R116" s="125"/>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row>
    <row r="117" spans="1:102" ht="12.75" customHeight="1">
      <c r="A117" s="513" t="str">
        <f>'Country Information'!H$39</f>
        <v>Complication - Sepsis</v>
      </c>
      <c r="B117" s="453" t="str">
        <f>'Cost Inputs - Drug &amp; Supplies'!B18</f>
        <v>Gloves, examination, non-sterile, disposable, pair</v>
      </c>
      <c r="C117" s="488">
        <v>1</v>
      </c>
      <c r="D117" s="488">
        <v>0</v>
      </c>
      <c r="E117" s="489">
        <v>1</v>
      </c>
      <c r="F117" s="490">
        <v>1</v>
      </c>
      <c r="G117" s="490">
        <v>1</v>
      </c>
      <c r="H117" s="501">
        <f aca="true" t="shared" si="26" ref="H117:H130">E117*F117*G117</f>
        <v>1</v>
      </c>
      <c r="I117" s="491">
        <f aca="true" t="shared" si="27" ref="I117:I130">VLOOKUP(B117,Drug_prices,9,FALSE)</f>
        <v>0.05163934426229508</v>
      </c>
      <c r="J117" s="491">
        <f aca="true" t="shared" si="28" ref="J117:J129">H117*I117</f>
        <v>0.05163934426229508</v>
      </c>
      <c r="K117" s="491">
        <f aca="true" t="shared" si="29" ref="K117:K129">J117*C117</f>
        <v>0.05163934426229508</v>
      </c>
      <c r="L117" s="155">
        <f aca="true" t="shared" si="30" ref="L117:L130">J117*D117</f>
        <v>0</v>
      </c>
      <c r="M117" s="338">
        <f aca="true" t="shared" si="31" ref="M117:M130">IF(VLOOKUP(B117,Drug_prices,7)="x",K117,0)</f>
        <v>0</v>
      </c>
      <c r="N117" s="151">
        <f>IF(VLOOKUP(B117,Drug_prices,7)="x",L117,0)</f>
        <v>0</v>
      </c>
      <c r="O117" s="163"/>
      <c r="P117" s="157"/>
      <c r="Q117" s="125"/>
      <c r="R117" s="125"/>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row>
    <row r="118" spans="1:102" ht="12.75">
      <c r="A118" s="513" t="str">
        <f>'Country Information'!H$39</f>
        <v>Complication - Sepsis</v>
      </c>
      <c r="B118" s="452" t="str">
        <f>'Cost Inputs - Drug &amp; Supplies'!B32</f>
        <v>Povidone antiseptic solution </v>
      </c>
      <c r="C118" s="488">
        <v>1</v>
      </c>
      <c r="D118" s="488">
        <v>0</v>
      </c>
      <c r="E118" s="493">
        <v>1</v>
      </c>
      <c r="F118" s="494">
        <v>1</v>
      </c>
      <c r="G118" s="494">
        <v>1</v>
      </c>
      <c r="H118" s="501">
        <f t="shared" si="26"/>
        <v>1</v>
      </c>
      <c r="I118" s="491">
        <f t="shared" si="27"/>
        <v>0.0036885245901639345</v>
      </c>
      <c r="J118" s="491">
        <f t="shared" si="28"/>
        <v>0.0036885245901639345</v>
      </c>
      <c r="K118" s="491">
        <f t="shared" si="29"/>
        <v>0.0036885245901639345</v>
      </c>
      <c r="L118" s="155">
        <f t="shared" si="30"/>
        <v>0</v>
      </c>
      <c r="M118" s="338">
        <f t="shared" si="31"/>
        <v>0</v>
      </c>
      <c r="N118" s="159"/>
      <c r="O118" s="160"/>
      <c r="P118" s="157"/>
      <c r="Q118" s="125"/>
      <c r="R118" s="125"/>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row>
    <row r="119" spans="1:102" ht="12.75">
      <c r="A119" s="513" t="str">
        <f>'Country Information'!H$39</f>
        <v>Complication - Sepsis</v>
      </c>
      <c r="B119" s="460" t="str">
        <f>'Cost Inputs - Drug &amp; Supplies'!B34</f>
        <v>Salvalon</v>
      </c>
      <c r="C119" s="488">
        <v>0</v>
      </c>
      <c r="D119" s="488">
        <v>0</v>
      </c>
      <c r="E119" s="493">
        <v>0</v>
      </c>
      <c r="F119" s="494">
        <v>1</v>
      </c>
      <c r="G119" s="494">
        <v>1</v>
      </c>
      <c r="H119" s="501">
        <f t="shared" si="26"/>
        <v>0</v>
      </c>
      <c r="I119" s="491">
        <f t="shared" si="27"/>
        <v>0.005456967213114754</v>
      </c>
      <c r="J119" s="491">
        <f t="shared" si="28"/>
        <v>0</v>
      </c>
      <c r="K119" s="491">
        <f t="shared" si="29"/>
        <v>0</v>
      </c>
      <c r="L119" s="155">
        <f t="shared" si="30"/>
        <v>0</v>
      </c>
      <c r="M119" s="338">
        <f t="shared" si="31"/>
        <v>0</v>
      </c>
      <c r="N119" s="159"/>
      <c r="O119" s="160"/>
      <c r="P119" s="157"/>
      <c r="Q119" s="125"/>
      <c r="R119" s="125"/>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row>
    <row r="120" spans="1:102" ht="12.75">
      <c r="A120" s="513" t="str">
        <f>'Country Information'!H$39</f>
        <v>Complication - Sepsis</v>
      </c>
      <c r="B120" s="452" t="str">
        <f>'Cost Inputs - Drug &amp; Supplies'!B16</f>
        <v>Gauze pad, Jelonet (paraffine vaseline)</v>
      </c>
      <c r="C120" s="488">
        <v>0</v>
      </c>
      <c r="D120" s="488">
        <v>0</v>
      </c>
      <c r="E120" s="493">
        <v>1</v>
      </c>
      <c r="F120" s="494">
        <v>1</v>
      </c>
      <c r="G120" s="494">
        <v>1</v>
      </c>
      <c r="H120" s="501">
        <f t="shared" si="26"/>
        <v>1</v>
      </c>
      <c r="I120" s="491">
        <f t="shared" si="27"/>
        <v>0.17418032786885246</v>
      </c>
      <c r="J120" s="491">
        <f t="shared" si="28"/>
        <v>0.17418032786885246</v>
      </c>
      <c r="K120" s="491">
        <f t="shared" si="29"/>
        <v>0</v>
      </c>
      <c r="L120" s="155">
        <f t="shared" si="30"/>
        <v>0</v>
      </c>
      <c r="M120" s="338">
        <f t="shared" si="31"/>
        <v>0</v>
      </c>
      <c r="N120" s="159"/>
      <c r="O120" s="156"/>
      <c r="P120" s="157"/>
      <c r="Q120" s="125"/>
      <c r="R120" s="125"/>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3"/>
      <c r="BJ120" s="563"/>
      <c r="BK120" s="563"/>
      <c r="BL120" s="563"/>
      <c r="BM120" s="563"/>
      <c r="BN120" s="563"/>
      <c r="BO120" s="563"/>
      <c r="BP120" s="563"/>
      <c r="BQ120" s="563"/>
      <c r="BR120" s="563"/>
      <c r="BS120" s="563"/>
      <c r="BT120" s="563"/>
      <c r="BU120" s="563"/>
      <c r="BV120" s="563"/>
      <c r="BW120" s="563"/>
      <c r="BX120" s="563"/>
      <c r="BY120" s="563"/>
      <c r="BZ120" s="563"/>
      <c r="CA120" s="563"/>
      <c r="CB120" s="563"/>
      <c r="CC120" s="563"/>
      <c r="CD120" s="563"/>
      <c r="CE120" s="563"/>
      <c r="CF120" s="563"/>
      <c r="CG120" s="563"/>
      <c r="CH120" s="563"/>
      <c r="CI120" s="563"/>
      <c r="CJ120" s="563"/>
      <c r="CK120" s="563"/>
      <c r="CL120" s="563"/>
      <c r="CM120" s="563"/>
      <c r="CN120" s="563"/>
      <c r="CO120" s="563"/>
      <c r="CP120" s="563"/>
      <c r="CQ120" s="563"/>
      <c r="CR120" s="563"/>
      <c r="CS120" s="563"/>
      <c r="CT120" s="563"/>
      <c r="CU120" s="563"/>
      <c r="CV120" s="563"/>
      <c r="CW120" s="563"/>
      <c r="CX120" s="563"/>
    </row>
    <row r="121" spans="1:102" ht="12.75">
      <c r="A121" s="513" t="str">
        <f>'Country Information'!H$39</f>
        <v>Complication - Sepsis</v>
      </c>
      <c r="B121" s="452" t="str">
        <f>'Cost Inputs - Drug &amp; Supplies'!B15</f>
        <v>Gauze pad, Inadine</v>
      </c>
      <c r="C121" s="488">
        <v>1</v>
      </c>
      <c r="D121" s="488">
        <v>0</v>
      </c>
      <c r="E121" s="493">
        <v>1</v>
      </c>
      <c r="F121" s="494">
        <v>1</v>
      </c>
      <c r="G121" s="494">
        <v>1</v>
      </c>
      <c r="H121" s="501">
        <f t="shared" si="26"/>
        <v>1</v>
      </c>
      <c r="I121" s="491">
        <f t="shared" si="27"/>
        <v>0.17418032786885246</v>
      </c>
      <c r="J121" s="491">
        <f t="shared" si="28"/>
        <v>0.17418032786885246</v>
      </c>
      <c r="K121" s="491">
        <f t="shared" si="29"/>
        <v>0.17418032786885246</v>
      </c>
      <c r="L121" s="155">
        <f t="shared" si="30"/>
        <v>0</v>
      </c>
      <c r="M121" s="338">
        <f t="shared" si="31"/>
        <v>0</v>
      </c>
      <c r="N121" s="155"/>
      <c r="O121" s="156"/>
      <c r="P121" s="157"/>
      <c r="Q121" s="125"/>
      <c r="R121" s="125"/>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row>
    <row r="122" spans="1:102" ht="12.75">
      <c r="A122" s="513" t="str">
        <f>'Country Information'!H$39</f>
        <v>Complication - Sepsis</v>
      </c>
      <c r="B122" s="455" t="str">
        <f>'Cost Inputs - Drug &amp; Supplies'!B13</f>
        <v>Gauze pad, sterile, 8ply 100x100mm</v>
      </c>
      <c r="C122" s="488">
        <v>1</v>
      </c>
      <c r="D122" s="488">
        <v>0</v>
      </c>
      <c r="E122" s="493">
        <v>1</v>
      </c>
      <c r="F122" s="494">
        <v>1</v>
      </c>
      <c r="G122" s="494">
        <v>1</v>
      </c>
      <c r="H122" s="501">
        <f t="shared" si="26"/>
        <v>1</v>
      </c>
      <c r="I122" s="491">
        <f t="shared" si="27"/>
        <v>0.006475409836065574</v>
      </c>
      <c r="J122" s="491">
        <f t="shared" si="28"/>
        <v>0.006475409836065574</v>
      </c>
      <c r="K122" s="491">
        <f t="shared" si="29"/>
        <v>0.006475409836065574</v>
      </c>
      <c r="L122" s="155">
        <f t="shared" si="30"/>
        <v>0</v>
      </c>
      <c r="M122" s="338">
        <f t="shared" si="31"/>
        <v>0</v>
      </c>
      <c r="N122" s="155">
        <f>IF(VLOOKUP(B122,Drug_prices,7)="x",L122,0)</f>
        <v>0</v>
      </c>
      <c r="O122" s="156"/>
      <c r="P122" s="157"/>
      <c r="Q122" s="125"/>
      <c r="R122" s="125"/>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row>
    <row r="123" spans="1:102" ht="12.75">
      <c r="A123" s="513" t="str">
        <f>'Country Information'!H$39</f>
        <v>Complication - Sepsis</v>
      </c>
      <c r="B123" s="453" t="str">
        <f>'Cost Inputs - Drug &amp; Supplies'!B14</f>
        <v>Gauze pad, sterile, 12ply 76x76mm</v>
      </c>
      <c r="C123" s="514">
        <v>0</v>
      </c>
      <c r="D123" s="514">
        <v>0</v>
      </c>
      <c r="E123" s="489">
        <v>0</v>
      </c>
      <c r="F123" s="490">
        <v>1</v>
      </c>
      <c r="G123" s="490">
        <v>1</v>
      </c>
      <c r="H123" s="501">
        <f t="shared" si="26"/>
        <v>0</v>
      </c>
      <c r="I123" s="491">
        <f t="shared" si="27"/>
        <v>0.006475409836065574</v>
      </c>
      <c r="J123" s="491">
        <f t="shared" si="28"/>
        <v>0</v>
      </c>
      <c r="K123" s="491">
        <f t="shared" si="29"/>
        <v>0</v>
      </c>
      <c r="L123" s="155">
        <f t="shared" si="30"/>
        <v>0</v>
      </c>
      <c r="M123" s="338">
        <f t="shared" si="31"/>
        <v>0</v>
      </c>
      <c r="N123" s="151">
        <f>IF(VLOOKUP(B123,Drug_prices,7)="x",L123,0)</f>
        <v>0</v>
      </c>
      <c r="O123" s="163"/>
      <c r="P123" s="157"/>
      <c r="Q123" s="125"/>
      <c r="R123" s="125"/>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row>
    <row r="124" spans="1:102" ht="12.75">
      <c r="A124" s="513" t="str">
        <f>'Country Information'!H$39</f>
        <v>Complication - Sepsis</v>
      </c>
      <c r="B124" s="452" t="str">
        <f>'Cost Inputs - Drug &amp; Supplies'!B10</f>
        <v>Elastoplast/Dermaplast 25mm/9m</v>
      </c>
      <c r="C124" s="488">
        <v>0.5</v>
      </c>
      <c r="D124" s="488">
        <v>0</v>
      </c>
      <c r="E124" s="493">
        <v>10</v>
      </c>
      <c r="F124" s="494">
        <v>1</v>
      </c>
      <c r="G124" s="494">
        <v>1</v>
      </c>
      <c r="H124" s="501">
        <f t="shared" si="26"/>
        <v>10</v>
      </c>
      <c r="I124" s="491">
        <f t="shared" si="27"/>
        <v>0.17092896174863387</v>
      </c>
      <c r="J124" s="491">
        <f>H124*I124</f>
        <v>1.7092896174863386</v>
      </c>
      <c r="K124" s="491">
        <f>J124*C124</f>
        <v>0.8546448087431693</v>
      </c>
      <c r="L124" s="155">
        <f>J124*D124</f>
        <v>0</v>
      </c>
      <c r="M124" s="338">
        <f t="shared" si="31"/>
        <v>0</v>
      </c>
      <c r="N124" s="155"/>
      <c r="O124" s="156"/>
      <c r="P124" s="157"/>
      <c r="Q124" s="125"/>
      <c r="R124" s="125"/>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row>
    <row r="125" spans="1:102" ht="12.75">
      <c r="A125" s="513" t="str">
        <f>'Country Information'!H$39</f>
        <v>Complication - Sepsis</v>
      </c>
      <c r="B125" s="452" t="str">
        <f>'Cost Inputs - Drug &amp; Supplies'!B26</f>
        <v>Micropore</v>
      </c>
      <c r="C125" s="488">
        <v>0.5</v>
      </c>
      <c r="D125" s="488">
        <v>0</v>
      </c>
      <c r="E125" s="493">
        <v>10</v>
      </c>
      <c r="F125" s="494">
        <v>1</v>
      </c>
      <c r="G125" s="494">
        <v>1</v>
      </c>
      <c r="H125" s="501">
        <f t="shared" si="26"/>
        <v>10</v>
      </c>
      <c r="I125" s="491">
        <f t="shared" si="27"/>
        <v>0.17092896174863387</v>
      </c>
      <c r="J125" s="491">
        <f t="shared" si="28"/>
        <v>1.7092896174863386</v>
      </c>
      <c r="K125" s="491">
        <f t="shared" si="29"/>
        <v>0.8546448087431693</v>
      </c>
      <c r="L125" s="155">
        <f t="shared" si="30"/>
        <v>0</v>
      </c>
      <c r="M125" s="338">
        <f t="shared" si="31"/>
        <v>0</v>
      </c>
      <c r="N125" s="155"/>
      <c r="O125" s="156"/>
      <c r="P125" s="157"/>
      <c r="Q125" s="125"/>
      <c r="R125" s="125"/>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row>
    <row r="126" spans="1:102" ht="12.75">
      <c r="A126" s="513" t="str">
        <f>'Country Information'!H$39</f>
        <v>Complication - Sepsis</v>
      </c>
      <c r="B126" s="452" t="str">
        <f>'Cost Inputs - Drug &amp; Supplies'!B45</f>
        <v>Tegaderm (3M) 1624</v>
      </c>
      <c r="C126" s="488">
        <v>0</v>
      </c>
      <c r="D126" s="488">
        <v>0</v>
      </c>
      <c r="E126" s="493">
        <v>1</v>
      </c>
      <c r="F126" s="494">
        <v>1</v>
      </c>
      <c r="G126" s="494">
        <v>1</v>
      </c>
      <c r="H126" s="501">
        <f t="shared" si="26"/>
        <v>1</v>
      </c>
      <c r="I126" s="491">
        <f t="shared" si="27"/>
        <v>4.377049180327869</v>
      </c>
      <c r="J126" s="491">
        <f t="shared" si="28"/>
        <v>4.377049180327869</v>
      </c>
      <c r="K126" s="491">
        <f t="shared" si="29"/>
        <v>0</v>
      </c>
      <c r="L126" s="155">
        <f t="shared" si="30"/>
        <v>0</v>
      </c>
      <c r="M126" s="338">
        <f t="shared" si="31"/>
        <v>0</v>
      </c>
      <c r="N126" s="155"/>
      <c r="O126" s="156"/>
      <c r="P126" s="157"/>
      <c r="Q126" s="125"/>
      <c r="R126" s="125"/>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row>
    <row r="127" spans="1:102" ht="12.75">
      <c r="A127" s="513" t="str">
        <f>'Country Information'!H$39</f>
        <v>Complication - Sepsis</v>
      </c>
      <c r="B127" s="515" t="str">
        <f>'Cost Inputs - Drug &amp; Supplies'!B7</f>
        <v>Bandage (elastic)</v>
      </c>
      <c r="C127" s="488">
        <v>0</v>
      </c>
      <c r="D127" s="488">
        <v>0</v>
      </c>
      <c r="E127" s="493">
        <v>1</v>
      </c>
      <c r="F127" s="494">
        <v>1</v>
      </c>
      <c r="G127" s="494">
        <v>1</v>
      </c>
      <c r="H127" s="501">
        <f t="shared" si="26"/>
        <v>1</v>
      </c>
      <c r="I127" s="491">
        <f t="shared" si="27"/>
        <v>0.0557832422586521</v>
      </c>
      <c r="J127" s="491">
        <f t="shared" si="28"/>
        <v>0.0557832422586521</v>
      </c>
      <c r="K127" s="491">
        <f t="shared" si="29"/>
        <v>0</v>
      </c>
      <c r="L127" s="155">
        <f t="shared" si="30"/>
        <v>0</v>
      </c>
      <c r="M127" s="338">
        <f t="shared" si="31"/>
        <v>0</v>
      </c>
      <c r="N127" s="159"/>
      <c r="O127" s="156"/>
      <c r="P127" s="157"/>
      <c r="Q127" s="125"/>
      <c r="R127" s="125"/>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row>
    <row r="128" spans="1:102" ht="12.75">
      <c r="A128" s="513" t="str">
        <f>'Country Information'!H$39</f>
        <v>Complication - Sepsis</v>
      </c>
      <c r="B128" s="455" t="str">
        <f>'Cost Inputs - Drug &amp; Supplies'!B5</f>
        <v>Amoxycillin, 500mg</v>
      </c>
      <c r="C128" s="488">
        <v>0.8</v>
      </c>
      <c r="D128" s="488">
        <v>0</v>
      </c>
      <c r="E128" s="493">
        <v>1</v>
      </c>
      <c r="F128" s="494">
        <v>3</v>
      </c>
      <c r="G128" s="494">
        <v>7</v>
      </c>
      <c r="H128" s="501">
        <f t="shared" si="26"/>
        <v>21</v>
      </c>
      <c r="I128" s="491">
        <f t="shared" si="27"/>
        <v>0.014401639344262295</v>
      </c>
      <c r="J128" s="491">
        <f t="shared" si="28"/>
        <v>0.30243442622950817</v>
      </c>
      <c r="K128" s="491">
        <f t="shared" si="29"/>
        <v>0.24194754098360655</v>
      </c>
      <c r="L128" s="155">
        <f t="shared" si="30"/>
        <v>0</v>
      </c>
      <c r="M128" s="338">
        <f t="shared" si="31"/>
        <v>0</v>
      </c>
      <c r="N128" s="155"/>
      <c r="O128" s="156"/>
      <c r="P128" s="157"/>
      <c r="Q128" s="125"/>
      <c r="R128" s="125"/>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row>
    <row r="129" spans="1:102" ht="12.75">
      <c r="A129" s="513" t="str">
        <f>'Country Information'!H$39</f>
        <v>Complication - Sepsis</v>
      </c>
      <c r="B129" s="515" t="str">
        <f>'Cost Inputs - Drug &amp; Supplies'!B9</f>
        <v>Cloxacillin, 500mg</v>
      </c>
      <c r="C129" s="488">
        <v>0.2</v>
      </c>
      <c r="D129" s="488">
        <v>0</v>
      </c>
      <c r="E129" s="493">
        <v>1</v>
      </c>
      <c r="F129" s="494">
        <v>3</v>
      </c>
      <c r="G129" s="494">
        <v>7</v>
      </c>
      <c r="H129" s="501">
        <f t="shared" si="26"/>
        <v>21</v>
      </c>
      <c r="I129" s="491">
        <f t="shared" si="27"/>
        <v>0.038819672131147544</v>
      </c>
      <c r="J129" s="491">
        <f t="shared" si="28"/>
        <v>0.8152131147540984</v>
      </c>
      <c r="K129" s="491">
        <f t="shared" si="29"/>
        <v>0.1630426229508197</v>
      </c>
      <c r="L129" s="155">
        <f t="shared" si="30"/>
        <v>0</v>
      </c>
      <c r="M129" s="338">
        <f t="shared" si="31"/>
        <v>0</v>
      </c>
      <c r="N129" s="155"/>
      <c r="O129" s="156"/>
      <c r="P129" s="157"/>
      <c r="Q129" s="125"/>
      <c r="R129" s="125"/>
      <c r="AL129" s="563"/>
      <c r="AM129" s="563"/>
      <c r="AN129" s="563"/>
      <c r="AO129" s="563"/>
      <c r="AP129" s="563"/>
      <c r="AQ129" s="563"/>
      <c r="AR129" s="563"/>
      <c r="AS129" s="563"/>
      <c r="AT129" s="563"/>
      <c r="AU129" s="563"/>
      <c r="AV129" s="563"/>
      <c r="AW129" s="563"/>
      <c r="AX129" s="563"/>
      <c r="AY129" s="563"/>
      <c r="AZ129" s="563"/>
      <c r="BA129" s="563"/>
      <c r="BB129" s="563"/>
      <c r="BC129" s="563"/>
      <c r="BD129" s="563"/>
      <c r="BE129" s="563"/>
      <c r="BF129" s="563"/>
      <c r="BG129" s="563"/>
      <c r="BH129" s="563"/>
      <c r="BI129" s="563"/>
      <c r="BJ129" s="563"/>
      <c r="BK129" s="563"/>
      <c r="BL129" s="563"/>
      <c r="BM129" s="563"/>
      <c r="BN129" s="563"/>
      <c r="BO129" s="563"/>
      <c r="BP129" s="563"/>
      <c r="BQ129" s="563"/>
      <c r="BR129" s="563"/>
      <c r="BS129" s="563"/>
      <c r="BT129" s="563"/>
      <c r="BU129" s="563"/>
      <c r="BV129" s="563"/>
      <c r="BW129" s="563"/>
      <c r="BX129" s="563"/>
      <c r="BY129" s="563"/>
      <c r="BZ129" s="563"/>
      <c r="CA129" s="563"/>
      <c r="CB129" s="563"/>
      <c r="CC129" s="563"/>
      <c r="CD129" s="563"/>
      <c r="CE129" s="563"/>
      <c r="CF129" s="563"/>
      <c r="CG129" s="563"/>
      <c r="CH129" s="563"/>
      <c r="CI129" s="563"/>
      <c r="CJ129" s="563"/>
      <c r="CK129" s="563"/>
      <c r="CL129" s="563"/>
      <c r="CM129" s="563"/>
      <c r="CN129" s="563"/>
      <c r="CO129" s="563"/>
      <c r="CP129" s="563"/>
      <c r="CQ129" s="563"/>
      <c r="CR129" s="563"/>
      <c r="CS129" s="563"/>
      <c r="CT129" s="563"/>
      <c r="CU129" s="563"/>
      <c r="CV129" s="563"/>
      <c r="CW129" s="563"/>
      <c r="CX129" s="563"/>
    </row>
    <row r="130" spans="1:102" s="235" customFormat="1" ht="12.75">
      <c r="A130" s="513" t="str">
        <f>'Country Information'!H$39</f>
        <v>Complication - Sepsis</v>
      </c>
      <c r="B130" s="452" t="str">
        <f>'Cost Inputs - Drug &amp; Supplies'!B11</f>
        <v>Erythomycin, capsule 250mg</v>
      </c>
      <c r="C130" s="488">
        <v>0</v>
      </c>
      <c r="D130" s="488">
        <v>0</v>
      </c>
      <c r="E130" s="493">
        <v>1</v>
      </c>
      <c r="F130" s="494">
        <v>3</v>
      </c>
      <c r="G130" s="494">
        <v>7</v>
      </c>
      <c r="H130" s="501">
        <f t="shared" si="26"/>
        <v>21</v>
      </c>
      <c r="I130" s="491">
        <f t="shared" si="27"/>
        <v>0.3005464480874317</v>
      </c>
      <c r="J130" s="491">
        <f>H130*I130</f>
        <v>6.311475409836065</v>
      </c>
      <c r="K130" s="491">
        <f>J130*C130</f>
        <v>0</v>
      </c>
      <c r="L130" s="146">
        <f t="shared" si="30"/>
        <v>0</v>
      </c>
      <c r="M130" s="338">
        <f t="shared" si="31"/>
        <v>0</v>
      </c>
      <c r="N130" s="146">
        <f>IF(VLOOKUP(B130,Drug_prices,7)="x",L130,0)</f>
        <v>0</v>
      </c>
      <c r="O130" s="147"/>
      <c r="P130" s="164"/>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63"/>
      <c r="BT130" s="563"/>
      <c r="BU130" s="563"/>
      <c r="BV130" s="563"/>
      <c r="BW130" s="563"/>
      <c r="BX130" s="563"/>
      <c r="BY130" s="563"/>
      <c r="BZ130" s="563"/>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row>
    <row r="131" spans="1:102" s="126" customFormat="1" ht="12.75">
      <c r="A131" s="361" t="str">
        <f>'Country Information'!$I$39</f>
        <v>Complication - Other 1</v>
      </c>
      <c r="B131" s="150"/>
      <c r="C131" s="519"/>
      <c r="D131" s="274"/>
      <c r="E131" s="275"/>
      <c r="F131" s="276"/>
      <c r="G131" s="276"/>
      <c r="H131" s="520"/>
      <c r="I131" s="521"/>
      <c r="J131" s="521"/>
      <c r="K131" s="522"/>
      <c r="L131" s="155"/>
      <c r="M131" s="338"/>
      <c r="N131" s="155"/>
      <c r="O131" s="156"/>
      <c r="P131" s="157"/>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c r="BZ131" s="563"/>
      <c r="CA131" s="563"/>
      <c r="CB131" s="563"/>
      <c r="CC131" s="563"/>
      <c r="CD131" s="563"/>
      <c r="CE131" s="563"/>
      <c r="CF131" s="563"/>
      <c r="CG131" s="563"/>
      <c r="CH131" s="563"/>
      <c r="CI131" s="563"/>
      <c r="CJ131" s="563"/>
      <c r="CK131" s="563"/>
      <c r="CL131" s="563"/>
      <c r="CM131" s="563"/>
      <c r="CN131" s="563"/>
      <c r="CO131" s="563"/>
      <c r="CP131" s="563"/>
      <c r="CQ131" s="563"/>
      <c r="CR131" s="563"/>
      <c r="CS131" s="563"/>
      <c r="CT131" s="563"/>
      <c r="CU131" s="563"/>
      <c r="CV131" s="563"/>
      <c r="CW131" s="563"/>
      <c r="CX131" s="563"/>
    </row>
    <row r="132" spans="1:102" s="126" customFormat="1" ht="12.75">
      <c r="A132" s="513" t="str">
        <f>'Country Information'!$I$39</f>
        <v>Complication - Other 1</v>
      </c>
      <c r="B132" s="452" t="s">
        <v>191</v>
      </c>
      <c r="C132" s="488">
        <v>0</v>
      </c>
      <c r="D132" s="488"/>
      <c r="E132" s="493">
        <v>0</v>
      </c>
      <c r="F132" s="493">
        <v>1</v>
      </c>
      <c r="G132" s="493">
        <v>1</v>
      </c>
      <c r="H132" s="501">
        <f>E132*F132*G132</f>
        <v>0</v>
      </c>
      <c r="I132" s="491">
        <f>VLOOKUP(B132,Drug_prices,9,FALSE)</f>
        <v>0</v>
      </c>
      <c r="J132" s="491">
        <f>H132*I132</f>
        <v>0</v>
      </c>
      <c r="K132" s="491">
        <f>J132*C132</f>
        <v>0</v>
      </c>
      <c r="L132" s="155"/>
      <c r="M132" s="338"/>
      <c r="N132" s="155"/>
      <c r="O132" s="156"/>
      <c r="P132" s="157"/>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c r="BZ132" s="563"/>
      <c r="CA132" s="563"/>
      <c r="CB132" s="563"/>
      <c r="CC132" s="563"/>
      <c r="CD132" s="563"/>
      <c r="CE132" s="563"/>
      <c r="CF132" s="563"/>
      <c r="CG132" s="563"/>
      <c r="CH132" s="563"/>
      <c r="CI132" s="563"/>
      <c r="CJ132" s="563"/>
      <c r="CK132" s="563"/>
      <c r="CL132" s="563"/>
      <c r="CM132" s="563"/>
      <c r="CN132" s="563"/>
      <c r="CO132" s="563"/>
      <c r="CP132" s="563"/>
      <c r="CQ132" s="563"/>
      <c r="CR132" s="563"/>
      <c r="CS132" s="563"/>
      <c r="CT132" s="563"/>
      <c r="CU132" s="563"/>
      <c r="CV132" s="563"/>
      <c r="CW132" s="563"/>
      <c r="CX132" s="563"/>
    </row>
    <row r="133" spans="1:102" s="126" customFormat="1" ht="12.75">
      <c r="A133" s="523" t="str">
        <f>'Country Information'!J39</f>
        <v>Complication - Other 2</v>
      </c>
      <c r="B133" s="150"/>
      <c r="C133" s="519"/>
      <c r="D133" s="274"/>
      <c r="E133" s="275"/>
      <c r="F133" s="276"/>
      <c r="G133" s="276"/>
      <c r="H133" s="520"/>
      <c r="I133" s="521"/>
      <c r="J133" s="521"/>
      <c r="K133" s="522"/>
      <c r="L133" s="155"/>
      <c r="M133" s="338"/>
      <c r="N133" s="155"/>
      <c r="O133" s="156"/>
      <c r="P133" s="157"/>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G133" s="563"/>
      <c r="BH133" s="563"/>
      <c r="BI133" s="563"/>
      <c r="BJ133" s="563"/>
      <c r="BK133" s="563"/>
      <c r="BL133" s="563"/>
      <c r="BM133" s="563"/>
      <c r="BN133" s="563"/>
      <c r="BO133" s="563"/>
      <c r="BP133" s="563"/>
      <c r="BQ133" s="563"/>
      <c r="BR133" s="563"/>
      <c r="BS133" s="563"/>
      <c r="BT133" s="563"/>
      <c r="BU133" s="563"/>
      <c r="BV133" s="563"/>
      <c r="BW133" s="563"/>
      <c r="BX133" s="563"/>
      <c r="BY133" s="563"/>
      <c r="BZ133" s="563"/>
      <c r="CA133" s="563"/>
      <c r="CB133" s="563"/>
      <c r="CC133" s="563"/>
      <c r="CD133" s="563"/>
      <c r="CE133" s="563"/>
      <c r="CF133" s="563"/>
      <c r="CG133" s="563"/>
      <c r="CH133" s="563"/>
      <c r="CI133" s="563"/>
      <c r="CJ133" s="563"/>
      <c r="CK133" s="563"/>
      <c r="CL133" s="563"/>
      <c r="CM133" s="563"/>
      <c r="CN133" s="563"/>
      <c r="CO133" s="563"/>
      <c r="CP133" s="563"/>
      <c r="CQ133" s="563"/>
      <c r="CR133" s="563"/>
      <c r="CS133" s="563"/>
      <c r="CT133" s="563"/>
      <c r="CU133" s="563"/>
      <c r="CV133" s="563"/>
      <c r="CW133" s="563"/>
      <c r="CX133" s="563"/>
    </row>
    <row r="134" spans="1:102" s="126" customFormat="1" ht="12.75">
      <c r="A134" s="513" t="str">
        <f>'Country Information'!J39</f>
        <v>Complication - Other 2</v>
      </c>
      <c r="B134" s="452" t="s">
        <v>191</v>
      </c>
      <c r="C134" s="488">
        <v>0</v>
      </c>
      <c r="D134" s="488"/>
      <c r="E134" s="493">
        <v>0</v>
      </c>
      <c r="F134" s="493">
        <v>1</v>
      </c>
      <c r="G134" s="493">
        <v>1</v>
      </c>
      <c r="H134" s="690">
        <f>E134*F134*G134</f>
        <v>0</v>
      </c>
      <c r="I134" s="491">
        <f>VLOOKUP(B134,Drug_prices,9,FALSE)</f>
        <v>0</v>
      </c>
      <c r="J134" s="491">
        <f>H134*I134</f>
        <v>0</v>
      </c>
      <c r="K134" s="491">
        <f>J134*C134</f>
        <v>0</v>
      </c>
      <c r="L134" s="155"/>
      <c r="M134" s="338"/>
      <c r="N134" s="155"/>
      <c r="O134" s="156"/>
      <c r="P134" s="157"/>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G134" s="563"/>
      <c r="BH134" s="563"/>
      <c r="BI134" s="563"/>
      <c r="BJ134" s="563"/>
      <c r="BK134" s="563"/>
      <c r="BL134" s="563"/>
      <c r="BM134" s="563"/>
      <c r="BN134" s="563"/>
      <c r="BO134" s="563"/>
      <c r="BP134" s="563"/>
      <c r="BQ134" s="563"/>
      <c r="BR134" s="563"/>
      <c r="BS134" s="563"/>
      <c r="BT134" s="563"/>
      <c r="BU134" s="563"/>
      <c r="BV134" s="563"/>
      <c r="BW134" s="563"/>
      <c r="BX134" s="563"/>
      <c r="BY134" s="563"/>
      <c r="BZ134" s="563"/>
      <c r="CA134" s="563"/>
      <c r="CB134" s="563"/>
      <c r="CC134" s="563"/>
      <c r="CD134" s="563"/>
      <c r="CE134" s="563"/>
      <c r="CF134" s="563"/>
      <c r="CG134" s="563"/>
      <c r="CH134" s="563"/>
      <c r="CI134" s="563"/>
      <c r="CJ134" s="563"/>
      <c r="CK134" s="563"/>
      <c r="CL134" s="563"/>
      <c r="CM134" s="563"/>
      <c r="CN134" s="563"/>
      <c r="CO134" s="563"/>
      <c r="CP134" s="563"/>
      <c r="CQ134" s="563"/>
      <c r="CR134" s="563"/>
      <c r="CS134" s="563"/>
      <c r="CT134" s="563"/>
      <c r="CU134" s="563"/>
      <c r="CV134" s="563"/>
      <c r="CW134" s="563"/>
      <c r="CX134" s="563"/>
    </row>
    <row r="135" spans="1:102" ht="12.75">
      <c r="A135" s="523" t="str">
        <f>'Country Information'!K39</f>
        <v>Circumcision Follow-up</v>
      </c>
      <c r="B135" s="158"/>
      <c r="C135" s="524"/>
      <c r="D135" s="525"/>
      <c r="E135" s="526"/>
      <c r="F135" s="527"/>
      <c r="G135" s="527"/>
      <c r="H135" s="520"/>
      <c r="I135" s="521"/>
      <c r="J135" s="521"/>
      <c r="K135" s="522"/>
      <c r="L135" s="155"/>
      <c r="M135" s="338"/>
      <c r="N135" s="155"/>
      <c r="O135" s="160"/>
      <c r="P135" s="157"/>
      <c r="Q135" s="125"/>
      <c r="R135" s="125"/>
      <c r="AL135" s="563"/>
      <c r="AM135" s="563"/>
      <c r="AN135" s="563"/>
      <c r="AO135" s="563"/>
      <c r="AP135" s="563"/>
      <c r="AQ135" s="563"/>
      <c r="AR135" s="563"/>
      <c r="AS135" s="563"/>
      <c r="AT135" s="563"/>
      <c r="AU135" s="563"/>
      <c r="AV135" s="563"/>
      <c r="AW135" s="563"/>
      <c r="AX135" s="563"/>
      <c r="AY135" s="563"/>
      <c r="AZ135" s="563"/>
      <c r="BA135" s="563"/>
      <c r="BB135" s="563"/>
      <c r="BC135" s="563"/>
      <c r="BD135" s="563"/>
      <c r="BE135" s="563"/>
      <c r="BF135" s="563"/>
      <c r="BG135" s="563"/>
      <c r="BH135" s="563"/>
      <c r="BI135" s="563"/>
      <c r="BJ135" s="563"/>
      <c r="BK135" s="563"/>
      <c r="BL135" s="563"/>
      <c r="BM135" s="563"/>
      <c r="BN135" s="563"/>
      <c r="BO135" s="563"/>
      <c r="BP135" s="563"/>
      <c r="BQ135" s="563"/>
      <c r="BR135" s="563"/>
      <c r="BS135" s="563"/>
      <c r="BT135" s="563"/>
      <c r="BU135" s="563"/>
      <c r="BV135" s="563"/>
      <c r="BW135" s="563"/>
      <c r="BX135" s="563"/>
      <c r="BY135" s="563"/>
      <c r="BZ135" s="563"/>
      <c r="CA135" s="563"/>
      <c r="CB135" s="563"/>
      <c r="CC135" s="563"/>
      <c r="CD135" s="563"/>
      <c r="CE135" s="563"/>
      <c r="CF135" s="563"/>
      <c r="CG135" s="563"/>
      <c r="CH135" s="563"/>
      <c r="CI135" s="563"/>
      <c r="CJ135" s="563"/>
      <c r="CK135" s="563"/>
      <c r="CL135" s="563"/>
      <c r="CM135" s="563"/>
      <c r="CN135" s="563"/>
      <c r="CO135" s="563"/>
      <c r="CP135" s="563"/>
      <c r="CQ135" s="563"/>
      <c r="CR135" s="563"/>
      <c r="CS135" s="563"/>
      <c r="CT135" s="563"/>
      <c r="CU135" s="563"/>
      <c r="CV135" s="563"/>
      <c r="CW135" s="563"/>
      <c r="CX135" s="563"/>
    </row>
    <row r="136" spans="1:102" ht="12.75">
      <c r="A136" s="513" t="str">
        <f>'Country Information'!K$39</f>
        <v>Circumcision Follow-up</v>
      </c>
      <c r="B136" s="452" t="str">
        <f>'Cost Inputs - Drug &amp; Supplies'!B18</f>
        <v>Gloves, examination, non-sterile, disposable, pair</v>
      </c>
      <c r="C136" s="488">
        <v>1</v>
      </c>
      <c r="D136" s="488">
        <v>0</v>
      </c>
      <c r="E136" s="493">
        <v>0</v>
      </c>
      <c r="F136" s="494">
        <v>1</v>
      </c>
      <c r="G136" s="494">
        <v>1</v>
      </c>
      <c r="H136" s="690">
        <f>E136*F136*G136</f>
        <v>0</v>
      </c>
      <c r="I136" s="491">
        <f>VLOOKUP(B136,Drug_prices,9,FALSE)</f>
        <v>0.05163934426229508</v>
      </c>
      <c r="J136" s="491">
        <f>H136*I136</f>
        <v>0</v>
      </c>
      <c r="K136" s="491">
        <f>J136*C136</f>
        <v>0</v>
      </c>
      <c r="L136" s="155">
        <f>J136*D136</f>
        <v>0</v>
      </c>
      <c r="M136" s="338">
        <f>IF(VLOOKUP(B136,Drug_prices,7)="x",K136,0)</f>
        <v>0</v>
      </c>
      <c r="N136" s="155">
        <f>IF(VLOOKUP(B136,Drug_prices,7)="x",L136,0)</f>
        <v>0</v>
      </c>
      <c r="O136" s="156"/>
      <c r="P136" s="157"/>
      <c r="Q136" s="125"/>
      <c r="R136" s="125"/>
      <c r="AL136" s="563"/>
      <c r="AM136" s="563"/>
      <c r="AN136" s="563"/>
      <c r="AO136" s="563"/>
      <c r="AP136" s="563"/>
      <c r="AQ136" s="563"/>
      <c r="AR136" s="563"/>
      <c r="AS136" s="563"/>
      <c r="AT136" s="563"/>
      <c r="AU136" s="563"/>
      <c r="AV136" s="563"/>
      <c r="AW136" s="563"/>
      <c r="AX136" s="563"/>
      <c r="AY136" s="563"/>
      <c r="AZ136" s="563"/>
      <c r="BA136" s="563"/>
      <c r="BB136" s="563"/>
      <c r="BC136" s="563"/>
      <c r="BD136" s="563"/>
      <c r="BE136" s="563"/>
      <c r="BF136" s="563"/>
      <c r="BG136" s="563"/>
      <c r="BH136" s="563"/>
      <c r="BI136" s="563"/>
      <c r="BJ136" s="563"/>
      <c r="BK136" s="563"/>
      <c r="BL136" s="563"/>
      <c r="BM136" s="563"/>
      <c r="BN136" s="563"/>
      <c r="BO136" s="563"/>
      <c r="BP136" s="563"/>
      <c r="BQ136" s="563"/>
      <c r="BR136" s="563"/>
      <c r="BS136" s="563"/>
      <c r="BT136" s="563"/>
      <c r="BU136" s="563"/>
      <c r="BV136" s="563"/>
      <c r="BW136" s="563"/>
      <c r="BX136" s="563"/>
      <c r="BY136" s="563"/>
      <c r="BZ136" s="563"/>
      <c r="CA136" s="563"/>
      <c r="CB136" s="563"/>
      <c r="CC136" s="563"/>
      <c r="CD136" s="563"/>
      <c r="CE136" s="563"/>
      <c r="CF136" s="563"/>
      <c r="CG136" s="563"/>
      <c r="CH136" s="563"/>
      <c r="CI136" s="563"/>
      <c r="CJ136" s="563"/>
      <c r="CK136" s="563"/>
      <c r="CL136" s="563"/>
      <c r="CM136" s="563"/>
      <c r="CN136" s="563"/>
      <c r="CO136" s="563"/>
      <c r="CP136" s="563"/>
      <c r="CQ136" s="563"/>
      <c r="CR136" s="563"/>
      <c r="CS136" s="563"/>
      <c r="CT136" s="563"/>
      <c r="CU136" s="563"/>
      <c r="CV136" s="563"/>
      <c r="CW136" s="563"/>
      <c r="CX136" s="563"/>
    </row>
    <row r="137" spans="1:102" ht="12.75">
      <c r="A137" s="513" t="str">
        <f>'Country Information'!K$39</f>
        <v>Circumcision Follow-up</v>
      </c>
      <c r="B137" s="453" t="str">
        <f>'Cost Inputs - Drug &amp; Supplies'!B13</f>
        <v>Gauze pad, sterile, 8ply 100x100mm</v>
      </c>
      <c r="C137" s="514">
        <v>0</v>
      </c>
      <c r="D137" s="514">
        <v>0</v>
      </c>
      <c r="E137" s="489">
        <v>0</v>
      </c>
      <c r="F137" s="490">
        <v>1</v>
      </c>
      <c r="G137" s="490">
        <v>1</v>
      </c>
      <c r="H137" s="501">
        <f>E137*F137*G137</f>
        <v>0</v>
      </c>
      <c r="I137" s="491">
        <f>VLOOKUP(B137,Drug_prices,9,FALSE)</f>
        <v>0.006475409836065574</v>
      </c>
      <c r="J137" s="491">
        <f>H137*I137</f>
        <v>0</v>
      </c>
      <c r="K137" s="491">
        <f>J137*C137</f>
        <v>0</v>
      </c>
      <c r="L137" s="155">
        <f>J137*D137</f>
        <v>0</v>
      </c>
      <c r="M137" s="338">
        <f>IF(VLOOKUP(B137,Drug_prices,7)="x",K137,0)</f>
        <v>0</v>
      </c>
      <c r="N137" s="151">
        <f>IF(VLOOKUP(B137,Drug_prices,7)="x",L137,0)</f>
        <v>0</v>
      </c>
      <c r="O137" s="163"/>
      <c r="P137" s="157"/>
      <c r="Q137" s="125"/>
      <c r="R137" s="125"/>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G137" s="563"/>
      <c r="BH137" s="563"/>
      <c r="BI137" s="563"/>
      <c r="BJ137" s="563"/>
      <c r="BK137" s="563"/>
      <c r="BL137" s="563"/>
      <c r="BM137" s="563"/>
      <c r="BN137" s="563"/>
      <c r="BO137" s="563"/>
      <c r="BP137" s="563"/>
      <c r="BQ137" s="563"/>
      <c r="BR137" s="563"/>
      <c r="BS137" s="563"/>
      <c r="BT137" s="563"/>
      <c r="BU137" s="563"/>
      <c r="BV137" s="563"/>
      <c r="BW137" s="563"/>
      <c r="BX137" s="563"/>
      <c r="BY137" s="563"/>
      <c r="BZ137" s="563"/>
      <c r="CA137" s="563"/>
      <c r="CB137" s="563"/>
      <c r="CC137" s="563"/>
      <c r="CD137" s="563"/>
      <c r="CE137" s="563"/>
      <c r="CF137" s="563"/>
      <c r="CG137" s="563"/>
      <c r="CH137" s="563"/>
      <c r="CI137" s="563"/>
      <c r="CJ137" s="563"/>
      <c r="CK137" s="563"/>
      <c r="CL137" s="563"/>
      <c r="CM137" s="563"/>
      <c r="CN137" s="563"/>
      <c r="CO137" s="563"/>
      <c r="CP137" s="563"/>
      <c r="CQ137" s="563"/>
      <c r="CR137" s="563"/>
      <c r="CS137" s="563"/>
      <c r="CT137" s="563"/>
      <c r="CU137" s="563"/>
      <c r="CV137" s="563"/>
      <c r="CW137" s="563"/>
      <c r="CX137" s="563"/>
    </row>
    <row r="138" spans="1:102" s="126" customFormat="1" ht="12.75">
      <c r="A138" s="513" t="str">
        <f>'Country Information'!K$39</f>
        <v>Circumcision Follow-up</v>
      </c>
      <c r="B138" s="460" t="str">
        <f>'Cost Inputs - Drug &amp; Supplies'!B33</f>
        <v>Saline</v>
      </c>
      <c r="C138" s="488">
        <v>0</v>
      </c>
      <c r="D138" s="488">
        <v>0</v>
      </c>
      <c r="E138" s="493">
        <v>0</v>
      </c>
      <c r="F138" s="494">
        <v>1</v>
      </c>
      <c r="G138" s="494">
        <v>1</v>
      </c>
      <c r="H138" s="501">
        <f>E138*F138*G138</f>
        <v>0</v>
      </c>
      <c r="I138" s="491">
        <f>VLOOKUP(B138,Drug_prices,9,FALSE)</f>
        <v>0</v>
      </c>
      <c r="J138" s="491">
        <f>H138*I138</f>
        <v>0</v>
      </c>
      <c r="K138" s="491">
        <f>J138*C138</f>
        <v>0</v>
      </c>
      <c r="L138" s="155">
        <f>J138*D138</f>
        <v>0</v>
      </c>
      <c r="M138" s="338">
        <f>IF(VLOOKUP(B138,Drug_prices,7)="x",K138,0)</f>
        <v>0</v>
      </c>
      <c r="N138" s="159"/>
      <c r="O138" s="283"/>
      <c r="P138" s="284"/>
      <c r="Q138" s="171"/>
      <c r="AL138" s="563"/>
      <c r="AM138" s="563"/>
      <c r="AN138" s="563"/>
      <c r="AO138" s="563"/>
      <c r="AP138" s="563"/>
      <c r="AQ138" s="563"/>
      <c r="AR138" s="563"/>
      <c r="AS138" s="563"/>
      <c r="AT138" s="563"/>
      <c r="AU138" s="563"/>
      <c r="AV138" s="563"/>
      <c r="AW138" s="563"/>
      <c r="AX138" s="563"/>
      <c r="AY138" s="563"/>
      <c r="AZ138" s="563"/>
      <c r="BA138" s="563"/>
      <c r="BB138" s="563"/>
      <c r="BC138" s="563"/>
      <c r="BD138" s="563"/>
      <c r="BE138" s="563"/>
      <c r="BF138" s="563"/>
      <c r="BG138" s="563"/>
      <c r="BH138" s="563"/>
      <c r="BI138" s="563"/>
      <c r="BJ138" s="563"/>
      <c r="BK138" s="563"/>
      <c r="BL138" s="563"/>
      <c r="BM138" s="563"/>
      <c r="BN138" s="563"/>
      <c r="BO138" s="563"/>
      <c r="BP138" s="563"/>
      <c r="BQ138" s="563"/>
      <c r="BR138" s="563"/>
      <c r="BS138" s="563"/>
      <c r="BT138" s="563"/>
      <c r="BU138" s="563"/>
      <c r="BV138" s="563"/>
      <c r="BW138" s="563"/>
      <c r="BX138" s="563"/>
      <c r="BY138" s="563"/>
      <c r="BZ138" s="563"/>
      <c r="CA138" s="563"/>
      <c r="CB138" s="563"/>
      <c r="CC138" s="563"/>
      <c r="CD138" s="563"/>
      <c r="CE138" s="563"/>
      <c r="CF138" s="563"/>
      <c r="CG138" s="563"/>
      <c r="CH138" s="563"/>
      <c r="CI138" s="563"/>
      <c r="CJ138" s="563"/>
      <c r="CK138" s="563"/>
      <c r="CL138" s="563"/>
      <c r="CM138" s="563"/>
      <c r="CN138" s="563"/>
      <c r="CO138" s="563"/>
      <c r="CP138" s="563"/>
      <c r="CQ138" s="563"/>
      <c r="CR138" s="563"/>
      <c r="CS138" s="563"/>
      <c r="CT138" s="563"/>
      <c r="CU138" s="563"/>
      <c r="CV138" s="563"/>
      <c r="CW138" s="563"/>
      <c r="CX138" s="563"/>
    </row>
    <row r="139" spans="1:102" s="235" customFormat="1" ht="12.75">
      <c r="A139" s="513" t="str">
        <f>'Country Information'!K$39</f>
        <v>Circumcision Follow-up</v>
      </c>
      <c r="B139" s="539" t="str">
        <f>'Cost Inputs - Drug &amp; Supplies'!B34</f>
        <v>Salvalon</v>
      </c>
      <c r="C139" s="540">
        <v>0</v>
      </c>
      <c r="D139" s="540">
        <v>0</v>
      </c>
      <c r="E139" s="541">
        <v>0</v>
      </c>
      <c r="F139" s="542">
        <v>1</v>
      </c>
      <c r="G139" s="542">
        <v>1</v>
      </c>
      <c r="H139" s="501">
        <f>E139*F139*G139</f>
        <v>0</v>
      </c>
      <c r="I139" s="543">
        <f>VLOOKUP(B139,Drug_prices,9,FALSE)</f>
        <v>0.005456967213114754</v>
      </c>
      <c r="J139" s="543">
        <f>H139*I139</f>
        <v>0</v>
      </c>
      <c r="K139" s="543">
        <f>J139*C139</f>
        <v>0</v>
      </c>
      <c r="L139" s="146">
        <f>J139*D139</f>
        <v>0</v>
      </c>
      <c r="M139" s="338">
        <f>IF(VLOOKUP(B139,Drug_prices,7)="x",K139,0)</f>
        <v>0</v>
      </c>
      <c r="N139" s="165"/>
      <c r="O139" s="170"/>
      <c r="P139" s="164"/>
      <c r="AL139" s="563"/>
      <c r="AM139" s="563"/>
      <c r="AN139" s="563"/>
      <c r="AO139" s="563"/>
      <c r="AP139" s="563"/>
      <c r="AQ139" s="563"/>
      <c r="AR139" s="563"/>
      <c r="AS139" s="563"/>
      <c r="AT139" s="563"/>
      <c r="AU139" s="563"/>
      <c r="AV139" s="563"/>
      <c r="AW139" s="563"/>
      <c r="AX139" s="563"/>
      <c r="AY139" s="563"/>
      <c r="AZ139" s="563"/>
      <c r="BA139" s="563"/>
      <c r="BB139" s="563"/>
      <c r="BC139" s="563"/>
      <c r="BD139" s="563"/>
      <c r="BE139" s="563"/>
      <c r="BF139" s="563"/>
      <c r="BG139" s="563"/>
      <c r="BH139" s="563"/>
      <c r="BI139" s="563"/>
      <c r="BJ139" s="563"/>
      <c r="BK139" s="563"/>
      <c r="BL139" s="563"/>
      <c r="BM139" s="563"/>
      <c r="BN139" s="563"/>
      <c r="BO139" s="563"/>
      <c r="BP139" s="563"/>
      <c r="BQ139" s="563"/>
      <c r="BR139" s="563"/>
      <c r="BS139" s="563"/>
      <c r="BT139" s="563"/>
      <c r="BU139" s="563"/>
      <c r="BV139" s="563"/>
      <c r="BW139" s="563"/>
      <c r="BX139" s="563"/>
      <c r="BY139" s="563"/>
      <c r="BZ139" s="563"/>
      <c r="CA139" s="563"/>
      <c r="CB139" s="563"/>
      <c r="CC139" s="563"/>
      <c r="CD139" s="563"/>
      <c r="CE139" s="563"/>
      <c r="CF139" s="563"/>
      <c r="CG139" s="563"/>
      <c r="CH139" s="563"/>
      <c r="CI139" s="563"/>
      <c r="CJ139" s="563"/>
      <c r="CK139" s="563"/>
      <c r="CL139" s="563"/>
      <c r="CM139" s="563"/>
      <c r="CN139" s="563"/>
      <c r="CO139" s="563"/>
      <c r="CP139" s="563"/>
      <c r="CQ139" s="563"/>
      <c r="CR139" s="563"/>
      <c r="CS139" s="563"/>
      <c r="CT139" s="563"/>
      <c r="CU139" s="563"/>
      <c r="CV139" s="563"/>
      <c r="CW139" s="563"/>
      <c r="CX139" s="563"/>
    </row>
    <row r="140" spans="1:102" ht="12.75">
      <c r="A140" s="240" t="s">
        <v>296</v>
      </c>
      <c r="B140" s="516"/>
      <c r="C140" s="545"/>
      <c r="D140" s="545"/>
      <c r="E140" s="546"/>
      <c r="F140" s="547"/>
      <c r="G140" s="547"/>
      <c r="H140" s="533"/>
      <c r="I140" s="534"/>
      <c r="J140" s="548"/>
      <c r="K140" s="549"/>
      <c r="M140" s="338"/>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563"/>
      <c r="BP140" s="563"/>
      <c r="BQ140" s="563"/>
      <c r="BR140" s="563"/>
      <c r="BS140" s="563"/>
      <c r="BT140" s="563"/>
      <c r="BU140" s="563"/>
      <c r="BV140" s="563"/>
      <c r="BW140" s="563"/>
      <c r="BX140" s="563"/>
      <c r="BY140" s="563"/>
      <c r="BZ140" s="563"/>
      <c r="CA140" s="563"/>
      <c r="CB140" s="563"/>
      <c r="CC140" s="563"/>
      <c r="CD140" s="563"/>
      <c r="CE140" s="563"/>
      <c r="CF140" s="563"/>
      <c r="CG140" s="563"/>
      <c r="CH140" s="563"/>
      <c r="CI140" s="563"/>
      <c r="CJ140" s="563"/>
      <c r="CK140" s="563"/>
      <c r="CL140" s="563"/>
      <c r="CM140" s="563"/>
      <c r="CN140" s="563"/>
      <c r="CO140" s="563"/>
      <c r="CP140" s="563"/>
      <c r="CQ140" s="563"/>
      <c r="CR140" s="563"/>
      <c r="CS140" s="563"/>
      <c r="CT140" s="563"/>
      <c r="CU140" s="563"/>
      <c r="CV140" s="563"/>
      <c r="CW140" s="563"/>
      <c r="CX140" s="563"/>
    </row>
    <row r="141" spans="1:256" s="169" customFormat="1" ht="12.75">
      <c r="A141" s="544" t="str">
        <f>A8</f>
        <v>Pre-circumcision</v>
      </c>
      <c r="B141" s="452"/>
      <c r="C141" s="551"/>
      <c r="D141" s="552"/>
      <c r="E141" s="553"/>
      <c r="F141" s="554"/>
      <c r="G141" s="554"/>
      <c r="H141" s="555"/>
      <c r="I141" s="534"/>
      <c r="J141" s="548"/>
      <c r="K141" s="556"/>
      <c r="L141" s="246"/>
      <c r="M141" s="338"/>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63"/>
      <c r="AM141" s="563"/>
      <c r="AN141" s="563"/>
      <c r="AO141" s="563"/>
      <c r="AP141" s="563"/>
      <c r="AQ141" s="563"/>
      <c r="AR141" s="563"/>
      <c r="AS141" s="563"/>
      <c r="AT141" s="563"/>
      <c r="AU141" s="563"/>
      <c r="AV141" s="563"/>
      <c r="AW141" s="563"/>
      <c r="AX141" s="563"/>
      <c r="AY141" s="563"/>
      <c r="AZ141" s="563"/>
      <c r="BA141" s="563"/>
      <c r="BB141" s="563"/>
      <c r="BC141" s="563"/>
      <c r="BD141" s="563"/>
      <c r="BE141" s="563"/>
      <c r="BF141" s="563"/>
      <c r="BG141" s="563"/>
      <c r="BH141" s="563"/>
      <c r="BI141" s="563"/>
      <c r="BJ141" s="563"/>
      <c r="BK141" s="563"/>
      <c r="BL141" s="563"/>
      <c r="BM141" s="563"/>
      <c r="BN141" s="563"/>
      <c r="BO141" s="563"/>
      <c r="BP141" s="563"/>
      <c r="BQ141" s="563"/>
      <c r="BR141" s="563"/>
      <c r="BS141" s="563"/>
      <c r="BT141" s="563"/>
      <c r="BU141" s="563"/>
      <c r="BV141" s="563"/>
      <c r="BW141" s="563"/>
      <c r="BX141" s="563"/>
      <c r="BY141" s="563"/>
      <c r="BZ141" s="563"/>
      <c r="CA141" s="563"/>
      <c r="CB141" s="563"/>
      <c r="CC141" s="563"/>
      <c r="CD141" s="563"/>
      <c r="CE141" s="563"/>
      <c r="CF141" s="563"/>
      <c r="CG141" s="563"/>
      <c r="CH141" s="563"/>
      <c r="CI141" s="563"/>
      <c r="CJ141" s="563"/>
      <c r="CK141" s="563"/>
      <c r="CL141" s="563"/>
      <c r="CM141" s="563"/>
      <c r="CN141" s="563"/>
      <c r="CO141" s="563"/>
      <c r="CP141" s="563"/>
      <c r="CQ141" s="563"/>
      <c r="CR141" s="563"/>
      <c r="CS141" s="563"/>
      <c r="CT141" s="563"/>
      <c r="CU141" s="563"/>
      <c r="CV141" s="563"/>
      <c r="CW141" s="563"/>
      <c r="CX141" s="563"/>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13" t="str">
        <f>A8</f>
        <v>Pre-circumcision</v>
      </c>
      <c r="B142" s="452" t="s">
        <v>191</v>
      </c>
      <c r="C142" s="488">
        <v>0</v>
      </c>
      <c r="D142" s="488">
        <v>0</v>
      </c>
      <c r="E142" s="493">
        <v>0</v>
      </c>
      <c r="F142" s="494">
        <v>1</v>
      </c>
      <c r="G142" s="494">
        <v>1</v>
      </c>
      <c r="H142" s="501">
        <f>E142*F142*G142</f>
        <v>0</v>
      </c>
      <c r="I142" s="491">
        <f>VLOOKUP(B142,Drug_prices,9,FALSE)</f>
        <v>0</v>
      </c>
      <c r="J142" s="491">
        <f>H142*I142</f>
        <v>0</v>
      </c>
      <c r="K142" s="491">
        <f>J142*C142</f>
        <v>0</v>
      </c>
      <c r="L142" s="146">
        <f>J142*D142</f>
        <v>0</v>
      </c>
      <c r="M142" s="338">
        <f>IF(VLOOKUP(B142,Drug_prices,7)="x",K142,0)</f>
        <v>0</v>
      </c>
      <c r="N142" s="165"/>
      <c r="O142" s="170"/>
      <c r="P142" s="236"/>
      <c r="Q142" s="237"/>
      <c r="R142" s="237"/>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563"/>
      <c r="BP142" s="563"/>
      <c r="BQ142" s="563"/>
      <c r="BR142" s="563"/>
      <c r="BS142" s="563"/>
      <c r="BT142" s="563"/>
      <c r="BU142" s="563"/>
      <c r="BV142" s="563"/>
      <c r="BW142" s="563"/>
      <c r="BX142" s="563"/>
      <c r="BY142" s="563"/>
      <c r="BZ142" s="563"/>
      <c r="CA142" s="563"/>
      <c r="CB142" s="563"/>
      <c r="CC142" s="563"/>
      <c r="CD142" s="563"/>
      <c r="CE142" s="563"/>
      <c r="CF142" s="563"/>
      <c r="CG142" s="563"/>
      <c r="CH142" s="563"/>
      <c r="CI142" s="563"/>
      <c r="CJ142" s="563"/>
      <c r="CK142" s="563"/>
      <c r="CL142" s="563"/>
      <c r="CM142" s="563"/>
      <c r="CN142" s="563"/>
      <c r="CO142" s="563"/>
      <c r="CP142" s="563"/>
      <c r="CQ142" s="563"/>
      <c r="CR142" s="563"/>
      <c r="CS142" s="563"/>
      <c r="CT142" s="563"/>
      <c r="CU142" s="563"/>
      <c r="CV142" s="563"/>
      <c r="CW142" s="563"/>
      <c r="CX142" s="563"/>
    </row>
    <row r="143" spans="1:102" ht="12.75">
      <c r="A143" s="361" t="str">
        <f>A11</f>
        <v>Circumcision</v>
      </c>
      <c r="C143" s="557"/>
      <c r="D143" s="545"/>
      <c r="E143" s="546"/>
      <c r="F143" s="547"/>
      <c r="G143" s="547"/>
      <c r="H143" s="533"/>
      <c r="I143" s="534"/>
      <c r="J143" s="548"/>
      <c r="K143" s="549"/>
      <c r="M143" s="338"/>
      <c r="AL143" s="563"/>
      <c r="AM143" s="563"/>
      <c r="AN143" s="563"/>
      <c r="AO143" s="563"/>
      <c r="AP143" s="563"/>
      <c r="AQ143" s="563"/>
      <c r="AR143" s="563"/>
      <c r="AS143" s="563"/>
      <c r="AT143" s="563"/>
      <c r="AU143" s="563"/>
      <c r="AV143" s="563"/>
      <c r="AW143" s="563"/>
      <c r="AX143" s="563"/>
      <c r="AY143" s="563"/>
      <c r="AZ143" s="563"/>
      <c r="BA143" s="563"/>
      <c r="BB143" s="563"/>
      <c r="BC143" s="563"/>
      <c r="BD143" s="563"/>
      <c r="BE143" s="563"/>
      <c r="BF143" s="563"/>
      <c r="BG143" s="563"/>
      <c r="BH143" s="563"/>
      <c r="BI143" s="563"/>
      <c r="BJ143" s="563"/>
      <c r="BK143" s="563"/>
      <c r="BL143" s="563"/>
      <c r="BM143" s="563"/>
      <c r="BN143" s="563"/>
      <c r="BO143" s="563"/>
      <c r="BP143" s="563"/>
      <c r="BQ143" s="563"/>
      <c r="BR143" s="563"/>
      <c r="BS143" s="563"/>
      <c r="BT143" s="563"/>
      <c r="BU143" s="563"/>
      <c r="BV143" s="563"/>
      <c r="BW143" s="563"/>
      <c r="BX143" s="563"/>
      <c r="BY143" s="563"/>
      <c r="BZ143" s="563"/>
      <c r="CA143" s="563"/>
      <c r="CB143" s="563"/>
      <c r="CC143" s="563"/>
      <c r="CD143" s="563"/>
      <c r="CE143" s="563"/>
      <c r="CF143" s="563"/>
      <c r="CG143" s="563"/>
      <c r="CH143" s="563"/>
      <c r="CI143" s="563"/>
      <c r="CJ143" s="563"/>
      <c r="CK143" s="563"/>
      <c r="CL143" s="563"/>
      <c r="CM143" s="563"/>
      <c r="CN143" s="563"/>
      <c r="CO143" s="563"/>
      <c r="CP143" s="563"/>
      <c r="CQ143" s="563"/>
      <c r="CR143" s="563"/>
      <c r="CS143" s="563"/>
      <c r="CT143" s="563"/>
      <c r="CU143" s="563"/>
      <c r="CV143" s="563"/>
      <c r="CW143" s="563"/>
      <c r="CX143" s="563"/>
    </row>
    <row r="144" spans="1:102" ht="12.75">
      <c r="A144" s="513" t="str">
        <f>A$11</f>
        <v>Circumcision</v>
      </c>
      <c r="B144" s="452" t="str">
        <f>'Cost Inputs - Drug &amp; Supplies'!B48</f>
        <v>Surgical gown</v>
      </c>
      <c r="C144" s="488">
        <v>1</v>
      </c>
      <c r="D144" s="488">
        <v>0</v>
      </c>
      <c r="E144" s="493">
        <v>2</v>
      </c>
      <c r="F144" s="494">
        <v>1</v>
      </c>
      <c r="G144" s="494">
        <v>1</v>
      </c>
      <c r="H144" s="501">
        <f aca="true" t="shared" si="32" ref="H144:H150">E144*F144*G144</f>
        <v>2</v>
      </c>
      <c r="I144" s="491">
        <f aca="true" t="shared" si="33" ref="I144:I150">VLOOKUP(B144,Drug_prices,9,FALSE)</f>
        <v>17.506830601092897</v>
      </c>
      <c r="J144" s="491">
        <f>H144*I144</f>
        <v>35.013661202185794</v>
      </c>
      <c r="K144" s="491">
        <f>J144*C144</f>
        <v>35.013661202185794</v>
      </c>
      <c r="L144" s="155">
        <f>J144*D144</f>
        <v>0</v>
      </c>
      <c r="M144" s="338">
        <f aca="true" t="shared" si="34" ref="M144:M150">IF(VLOOKUP(B144,Drug_prices,7)="x",K144,0)</f>
        <v>0</v>
      </c>
      <c r="N144" s="155"/>
      <c r="O144" s="156"/>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G144" s="563"/>
      <c r="BH144" s="563"/>
      <c r="BI144" s="563"/>
      <c r="BJ144" s="563"/>
      <c r="BK144" s="563"/>
      <c r="BL144" s="563"/>
      <c r="BM144" s="563"/>
      <c r="BN144" s="563"/>
      <c r="BO144" s="563"/>
      <c r="BP144" s="563"/>
      <c r="BQ144" s="563"/>
      <c r="BR144" s="563"/>
      <c r="BS144" s="563"/>
      <c r="BT144" s="563"/>
      <c r="BU144" s="563"/>
      <c r="BV144" s="563"/>
      <c r="BW144" s="563"/>
      <c r="BX144" s="563"/>
      <c r="BY144" s="563"/>
      <c r="BZ144" s="563"/>
      <c r="CA144" s="563"/>
      <c r="CB144" s="563"/>
      <c r="CC144" s="563"/>
      <c r="CD144" s="563"/>
      <c r="CE144" s="563"/>
      <c r="CF144" s="563"/>
      <c r="CG144" s="563"/>
      <c r="CH144" s="563"/>
      <c r="CI144" s="563"/>
      <c r="CJ144" s="563"/>
      <c r="CK144" s="563"/>
      <c r="CL144" s="563"/>
      <c r="CM144" s="563"/>
      <c r="CN144" s="563"/>
      <c r="CO144" s="563"/>
      <c r="CP144" s="563"/>
      <c r="CQ144" s="563"/>
      <c r="CR144" s="563"/>
      <c r="CS144" s="563"/>
      <c r="CT144" s="563"/>
      <c r="CU144" s="563"/>
      <c r="CV144" s="563"/>
      <c r="CW144" s="563"/>
      <c r="CX144" s="563"/>
    </row>
    <row r="145" spans="1:102" ht="12.75">
      <c r="A145" s="513" t="str">
        <f aca="true" t="shared" si="35" ref="A145:A150">A$11</f>
        <v>Circumcision</v>
      </c>
      <c r="B145" s="452" t="str">
        <f>'Cost Inputs - Drug &amp; Supplies'!B49</f>
        <v>Stretch pants medium</v>
      </c>
      <c r="C145" s="488">
        <v>1</v>
      </c>
      <c r="D145" s="488">
        <v>0</v>
      </c>
      <c r="E145" s="493">
        <v>1</v>
      </c>
      <c r="F145" s="494">
        <v>1</v>
      </c>
      <c r="G145" s="494">
        <v>1</v>
      </c>
      <c r="H145" s="501">
        <f t="shared" si="32"/>
        <v>1</v>
      </c>
      <c r="I145" s="491">
        <f t="shared" si="33"/>
        <v>16.870218579234972</v>
      </c>
      <c r="J145" s="491">
        <f aca="true" t="shared" si="36" ref="J145:J150">H145*I145</f>
        <v>16.870218579234972</v>
      </c>
      <c r="K145" s="491">
        <f aca="true" t="shared" si="37" ref="K145:K150">J145*C145</f>
        <v>16.870218579234972</v>
      </c>
      <c r="L145" s="155">
        <f aca="true" t="shared" si="38" ref="L145:L150">J145*D145</f>
        <v>0</v>
      </c>
      <c r="M145" s="338">
        <f t="shared" si="34"/>
        <v>0</v>
      </c>
      <c r="N145" s="155"/>
      <c r="O145" s="156"/>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G145" s="563"/>
      <c r="BH145" s="563"/>
      <c r="BI145" s="563"/>
      <c r="BJ145" s="563"/>
      <c r="BK145" s="563"/>
      <c r="BL145" s="563"/>
      <c r="BM145" s="563"/>
      <c r="BN145" s="563"/>
      <c r="BO145" s="563"/>
      <c r="BP145" s="563"/>
      <c r="BQ145" s="563"/>
      <c r="BR145" s="563"/>
      <c r="BS145" s="563"/>
      <c r="BT145" s="563"/>
      <c r="BU145" s="563"/>
      <c r="BV145" s="563"/>
      <c r="BW145" s="563"/>
      <c r="BX145" s="563"/>
      <c r="BY145" s="563"/>
      <c r="BZ145" s="563"/>
      <c r="CA145" s="563"/>
      <c r="CB145" s="563"/>
      <c r="CC145" s="563"/>
      <c r="CD145" s="563"/>
      <c r="CE145" s="563"/>
      <c r="CF145" s="563"/>
      <c r="CG145" s="563"/>
      <c r="CH145" s="563"/>
      <c r="CI145" s="563"/>
      <c r="CJ145" s="563"/>
      <c r="CK145" s="563"/>
      <c r="CL145" s="563"/>
      <c r="CM145" s="563"/>
      <c r="CN145" s="563"/>
      <c r="CO145" s="563"/>
      <c r="CP145" s="563"/>
      <c r="CQ145" s="563"/>
      <c r="CR145" s="563"/>
      <c r="CS145" s="563"/>
      <c r="CT145" s="563"/>
      <c r="CU145" s="563"/>
      <c r="CV145" s="563"/>
      <c r="CW145" s="563"/>
      <c r="CX145" s="563"/>
    </row>
    <row r="146" spans="1:102" ht="12.75">
      <c r="A146" s="513" t="str">
        <f t="shared" si="35"/>
        <v>Circumcision</v>
      </c>
      <c r="B146" s="452" t="str">
        <f>'Cost Inputs - Drug &amp; Supplies'!B50</f>
        <v>Stretch pants large</v>
      </c>
      <c r="C146" s="488">
        <v>1</v>
      </c>
      <c r="D146" s="488">
        <v>0</v>
      </c>
      <c r="E146" s="493">
        <v>1</v>
      </c>
      <c r="F146" s="494">
        <v>1</v>
      </c>
      <c r="G146" s="494">
        <v>1</v>
      </c>
      <c r="H146" s="501">
        <f t="shared" si="32"/>
        <v>1</v>
      </c>
      <c r="I146" s="491">
        <f t="shared" si="33"/>
        <v>17.506830601092897</v>
      </c>
      <c r="J146" s="491">
        <f t="shared" si="36"/>
        <v>17.506830601092897</v>
      </c>
      <c r="K146" s="491">
        <f t="shared" si="37"/>
        <v>17.506830601092897</v>
      </c>
      <c r="L146" s="155">
        <f t="shared" si="38"/>
        <v>0</v>
      </c>
      <c r="M146" s="338">
        <f t="shared" si="34"/>
        <v>0</v>
      </c>
      <c r="N146" s="155"/>
      <c r="O146" s="156"/>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G146" s="563"/>
      <c r="BH146" s="563"/>
      <c r="BI146" s="563"/>
      <c r="BJ146" s="563"/>
      <c r="BK146" s="563"/>
      <c r="BL146" s="563"/>
      <c r="BM146" s="563"/>
      <c r="BN146" s="563"/>
      <c r="BO146" s="563"/>
      <c r="BP146" s="563"/>
      <c r="BQ146" s="563"/>
      <c r="BR146" s="563"/>
      <c r="BS146" s="563"/>
      <c r="BT146" s="563"/>
      <c r="BU146" s="563"/>
      <c r="BV146" s="563"/>
      <c r="BW146" s="563"/>
      <c r="BX146" s="563"/>
      <c r="BY146" s="563"/>
      <c r="BZ146" s="563"/>
      <c r="CA146" s="563"/>
      <c r="CB146" s="563"/>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row>
    <row r="147" spans="1:102" ht="12.75">
      <c r="A147" s="513" t="str">
        <f t="shared" si="35"/>
        <v>Circumcision</v>
      </c>
      <c r="B147" s="452" t="str">
        <f>'Cost Inputs - Drug &amp; Supplies'!B51</f>
        <v>Shoe covers</v>
      </c>
      <c r="C147" s="488">
        <v>1</v>
      </c>
      <c r="D147" s="488">
        <v>0</v>
      </c>
      <c r="E147" s="493">
        <v>2</v>
      </c>
      <c r="F147" s="494">
        <v>1</v>
      </c>
      <c r="G147" s="494">
        <v>1</v>
      </c>
      <c r="H147" s="501">
        <f t="shared" si="32"/>
        <v>2</v>
      </c>
      <c r="I147" s="491">
        <f t="shared" si="33"/>
        <v>0.04685792349726776</v>
      </c>
      <c r="J147" s="491">
        <f t="shared" si="36"/>
        <v>0.09371584699453551</v>
      </c>
      <c r="K147" s="491">
        <f t="shared" si="37"/>
        <v>0.09371584699453551</v>
      </c>
      <c r="L147" s="155">
        <f t="shared" si="38"/>
        <v>0</v>
      </c>
      <c r="M147" s="338">
        <f t="shared" si="34"/>
        <v>0</v>
      </c>
      <c r="N147" s="155"/>
      <c r="O147" s="156"/>
      <c r="P147" s="157"/>
      <c r="Q147" s="125"/>
      <c r="R147" s="125"/>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row>
    <row r="148" spans="1:102" ht="12.75">
      <c r="A148" s="513" t="str">
        <f t="shared" si="35"/>
        <v>Circumcision</v>
      </c>
      <c r="B148" s="452" t="str">
        <f>'Cost Inputs - Drug &amp; Supplies'!B52</f>
        <v>Sterile drape (linen drapes)</v>
      </c>
      <c r="C148" s="488">
        <v>0</v>
      </c>
      <c r="D148" s="488">
        <v>0</v>
      </c>
      <c r="E148" s="493">
        <v>0</v>
      </c>
      <c r="F148" s="494">
        <v>1</v>
      </c>
      <c r="G148" s="494">
        <v>1</v>
      </c>
      <c r="H148" s="501">
        <f t="shared" si="32"/>
        <v>0</v>
      </c>
      <c r="I148" s="491">
        <f t="shared" si="33"/>
        <v>0</v>
      </c>
      <c r="J148" s="491">
        <f t="shared" si="36"/>
        <v>0</v>
      </c>
      <c r="K148" s="491">
        <f t="shared" si="37"/>
        <v>0</v>
      </c>
      <c r="L148" s="155">
        <f t="shared" si="38"/>
        <v>0</v>
      </c>
      <c r="M148" s="338">
        <f t="shared" si="34"/>
        <v>0</v>
      </c>
      <c r="N148" s="159"/>
      <c r="O148" s="160"/>
      <c r="P148" s="157"/>
      <c r="Q148" s="125"/>
      <c r="R148" s="125"/>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c r="BZ148" s="563"/>
      <c r="CA148" s="563"/>
      <c r="CB148" s="563"/>
      <c r="CC148" s="563"/>
      <c r="CD148" s="563"/>
      <c r="CE148" s="563"/>
      <c r="CF148" s="563"/>
      <c r="CG148" s="563"/>
      <c r="CH148" s="563"/>
      <c r="CI148" s="563"/>
      <c r="CJ148" s="563"/>
      <c r="CK148" s="563"/>
      <c r="CL148" s="563"/>
      <c r="CM148" s="563"/>
      <c r="CN148" s="563"/>
      <c r="CO148" s="563"/>
      <c r="CP148" s="563"/>
      <c r="CQ148" s="563"/>
      <c r="CR148" s="563"/>
      <c r="CS148" s="563"/>
      <c r="CT148" s="563"/>
      <c r="CU148" s="563"/>
      <c r="CV148" s="563"/>
      <c r="CW148" s="563"/>
      <c r="CX148" s="563"/>
    </row>
    <row r="149" spans="1:102" ht="12.75">
      <c r="A149" s="513" t="str">
        <f t="shared" si="35"/>
        <v>Circumcision</v>
      </c>
      <c r="B149" s="452" t="str">
        <f>'Cost Inputs - Drug &amp; Supplies'!B53</f>
        <v>Sterile drape (60x60cm)</v>
      </c>
      <c r="C149" s="488">
        <v>1</v>
      </c>
      <c r="D149" s="488">
        <v>0</v>
      </c>
      <c r="E149" s="493">
        <v>1</v>
      </c>
      <c r="F149" s="494">
        <v>1</v>
      </c>
      <c r="G149" s="494">
        <v>1</v>
      </c>
      <c r="H149" s="501">
        <f t="shared" si="32"/>
        <v>1</v>
      </c>
      <c r="I149" s="491">
        <f t="shared" si="33"/>
        <v>0.5259562841530054</v>
      </c>
      <c r="J149" s="491">
        <f t="shared" si="36"/>
        <v>0.5259562841530054</v>
      </c>
      <c r="K149" s="491">
        <f t="shared" si="37"/>
        <v>0.5259562841530054</v>
      </c>
      <c r="L149" s="155">
        <f t="shared" si="38"/>
        <v>0</v>
      </c>
      <c r="M149" s="338">
        <f t="shared" si="34"/>
        <v>0</v>
      </c>
      <c r="N149" s="159"/>
      <c r="O149" s="160"/>
      <c r="P149" s="157"/>
      <c r="Q149" s="125"/>
      <c r="R149" s="125"/>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G149" s="563"/>
      <c r="BH149" s="563"/>
      <c r="BI149" s="563"/>
      <c r="BJ149" s="563"/>
      <c r="BK149" s="563"/>
      <c r="BL149" s="563"/>
      <c r="BM149" s="563"/>
      <c r="BN149" s="563"/>
      <c r="BO149" s="563"/>
      <c r="BP149" s="563"/>
      <c r="BQ149" s="563"/>
      <c r="BR149" s="563"/>
      <c r="BS149" s="563"/>
      <c r="BT149" s="563"/>
      <c r="BU149" s="563"/>
      <c r="BV149" s="563"/>
      <c r="BW149" s="563"/>
      <c r="BX149" s="563"/>
      <c r="BY149" s="563"/>
      <c r="BZ149" s="563"/>
      <c r="CA149" s="563"/>
      <c r="CB149" s="563"/>
      <c r="CC149" s="563"/>
      <c r="CD149" s="563"/>
      <c r="CE149" s="563"/>
      <c r="CF149" s="563"/>
      <c r="CG149" s="563"/>
      <c r="CH149" s="563"/>
      <c r="CI149" s="563"/>
      <c r="CJ149" s="563"/>
      <c r="CK149" s="563"/>
      <c r="CL149" s="563"/>
      <c r="CM149" s="563"/>
      <c r="CN149" s="563"/>
      <c r="CO149" s="563"/>
      <c r="CP149" s="563"/>
      <c r="CQ149" s="563"/>
      <c r="CR149" s="563"/>
      <c r="CS149" s="563"/>
      <c r="CT149" s="563"/>
      <c r="CU149" s="563"/>
      <c r="CV149" s="563"/>
      <c r="CW149" s="563"/>
      <c r="CX149" s="563"/>
    </row>
    <row r="150" spans="1:102" s="235" customFormat="1" ht="12.75">
      <c r="A150" s="513" t="str">
        <f t="shared" si="35"/>
        <v>Circumcision</v>
      </c>
      <c r="B150" s="452" t="str">
        <f>'Cost Inputs - Drug &amp; Supplies'!B54</f>
        <v>Circumcision surgical tray</v>
      </c>
      <c r="C150" s="488">
        <v>1</v>
      </c>
      <c r="D150" s="488"/>
      <c r="E150" s="493">
        <v>1</v>
      </c>
      <c r="F150" s="494">
        <v>1</v>
      </c>
      <c r="G150" s="494">
        <v>1</v>
      </c>
      <c r="H150" s="501">
        <f t="shared" si="32"/>
        <v>1</v>
      </c>
      <c r="I150" s="491">
        <f t="shared" si="33"/>
        <v>0</v>
      </c>
      <c r="J150" s="491">
        <f t="shared" si="36"/>
        <v>0</v>
      </c>
      <c r="K150" s="491">
        <f t="shared" si="37"/>
        <v>0</v>
      </c>
      <c r="L150" s="146">
        <f t="shared" si="38"/>
        <v>0</v>
      </c>
      <c r="M150" s="340">
        <f t="shared" si="34"/>
        <v>0</v>
      </c>
      <c r="N150" s="165"/>
      <c r="O150" s="170"/>
      <c r="P150" s="236"/>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G150" s="563"/>
      <c r="BH150" s="563"/>
      <c r="BI150" s="563"/>
      <c r="BJ150" s="563"/>
      <c r="BK150" s="563"/>
      <c r="BL150" s="563"/>
      <c r="BM150" s="563"/>
      <c r="BN150" s="563"/>
      <c r="BO150" s="563"/>
      <c r="BP150" s="563"/>
      <c r="BQ150" s="563"/>
      <c r="BR150" s="563"/>
      <c r="BS150" s="563"/>
      <c r="BT150" s="563"/>
      <c r="BU150" s="563"/>
      <c r="BV150" s="563"/>
      <c r="BW150" s="563"/>
      <c r="BX150" s="563"/>
      <c r="BY150" s="563"/>
      <c r="BZ150" s="563"/>
      <c r="CA150" s="563"/>
      <c r="CB150" s="563"/>
      <c r="CC150" s="563"/>
      <c r="CD150" s="563"/>
      <c r="CE150" s="563"/>
      <c r="CF150" s="563"/>
      <c r="CG150" s="563"/>
      <c r="CH150" s="563"/>
      <c r="CI150" s="563"/>
      <c r="CJ150" s="563"/>
      <c r="CK150" s="563"/>
      <c r="CL150" s="563"/>
      <c r="CM150" s="563"/>
      <c r="CN150" s="563"/>
      <c r="CO150" s="563"/>
      <c r="CP150" s="563"/>
      <c r="CQ150" s="563"/>
      <c r="CR150" s="563"/>
      <c r="CS150" s="563"/>
      <c r="CT150" s="563"/>
      <c r="CU150" s="563"/>
      <c r="CV150" s="563"/>
      <c r="CW150" s="563"/>
      <c r="CX150" s="563"/>
    </row>
    <row r="151" spans="1:102" s="267" customFormat="1" ht="12.75">
      <c r="A151" s="361" t="str">
        <f>A79</f>
        <v>Post-Circumcision - Normal</v>
      </c>
      <c r="B151" s="150"/>
      <c r="C151" s="519"/>
      <c r="D151" s="274"/>
      <c r="E151" s="275"/>
      <c r="F151" s="276"/>
      <c r="G151" s="276"/>
      <c r="H151" s="558"/>
      <c r="I151" s="521"/>
      <c r="J151" s="277"/>
      <c r="K151" s="559"/>
      <c r="L151" s="246"/>
      <c r="M151" s="338"/>
      <c r="N151" s="247"/>
      <c r="O151" s="263"/>
      <c r="P151" s="264"/>
      <c r="Q151" s="266"/>
      <c r="R151" s="266"/>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G151" s="563"/>
      <c r="BH151" s="563"/>
      <c r="BI151" s="563"/>
      <c r="BJ151" s="563"/>
      <c r="BK151" s="563"/>
      <c r="BL151" s="563"/>
      <c r="BM151" s="563"/>
      <c r="BN151" s="563"/>
      <c r="BO151" s="563"/>
      <c r="BP151" s="563"/>
      <c r="BQ151" s="563"/>
      <c r="BR151" s="563"/>
      <c r="BS151" s="563"/>
      <c r="BT151" s="563"/>
      <c r="BU151" s="563"/>
      <c r="BV151" s="563"/>
      <c r="BW151" s="563"/>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63"/>
      <c r="CT151" s="563"/>
      <c r="CU151" s="563"/>
      <c r="CV151" s="563"/>
      <c r="CW151" s="563"/>
      <c r="CX151" s="563"/>
    </row>
    <row r="152" spans="1:102" s="235" customFormat="1" ht="12.75">
      <c r="A152" s="513" t="str">
        <f>A79</f>
        <v>Post-Circumcision - Normal</v>
      </c>
      <c r="B152" s="452" t="s">
        <v>191</v>
      </c>
      <c r="C152" s="488">
        <v>0</v>
      </c>
      <c r="D152" s="488">
        <v>0</v>
      </c>
      <c r="E152" s="493">
        <v>0</v>
      </c>
      <c r="F152" s="494">
        <v>1</v>
      </c>
      <c r="G152" s="494">
        <v>1</v>
      </c>
      <c r="H152" s="690">
        <f>E152*F152*G152</f>
        <v>0</v>
      </c>
      <c r="I152" s="491">
        <f>VLOOKUP(B152,Drug_prices,9,FALSE)</f>
        <v>0</v>
      </c>
      <c r="J152" s="491">
        <f>H152*I152</f>
        <v>0</v>
      </c>
      <c r="K152" s="491">
        <f>J152*C152</f>
        <v>0</v>
      </c>
      <c r="L152" s="146">
        <f aca="true" t="shared" si="39" ref="L152:L165">J152*D152</f>
        <v>0</v>
      </c>
      <c r="M152" s="338">
        <f>IF(VLOOKUP(B152,Drug_prices,7)="x",K152,0)</f>
        <v>0</v>
      </c>
      <c r="N152" s="165"/>
      <c r="O152" s="170"/>
      <c r="P152" s="236"/>
      <c r="Q152" s="237"/>
      <c r="R152" s="237"/>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563"/>
      <c r="BP152" s="563"/>
      <c r="BQ152" s="563"/>
      <c r="BR152" s="563"/>
      <c r="BS152" s="563"/>
      <c r="BT152" s="563"/>
      <c r="BU152" s="563"/>
      <c r="BV152" s="563"/>
      <c r="BW152" s="563"/>
      <c r="BX152" s="563"/>
      <c r="BY152" s="563"/>
      <c r="BZ152" s="563"/>
      <c r="CA152" s="563"/>
      <c r="CB152" s="563"/>
      <c r="CC152" s="563"/>
      <c r="CD152" s="563"/>
      <c r="CE152" s="563"/>
      <c r="CF152" s="563"/>
      <c r="CG152" s="563"/>
      <c r="CH152" s="563"/>
      <c r="CI152" s="563"/>
      <c r="CJ152" s="563"/>
      <c r="CK152" s="563"/>
      <c r="CL152" s="563"/>
      <c r="CM152" s="563"/>
      <c r="CN152" s="563"/>
      <c r="CO152" s="563"/>
      <c r="CP152" s="563"/>
      <c r="CQ152" s="563"/>
      <c r="CR152" s="563"/>
      <c r="CS152" s="563"/>
      <c r="CT152" s="563"/>
      <c r="CU152" s="563"/>
      <c r="CV152" s="563"/>
      <c r="CW152" s="563"/>
      <c r="CX152" s="563"/>
    </row>
    <row r="153" spans="1:102" ht="12.75">
      <c r="A153" s="361" t="str">
        <f>A91</f>
        <v>Complication - Hemorrhage</v>
      </c>
      <c r="C153" s="551"/>
      <c r="D153" s="552"/>
      <c r="E153" s="553"/>
      <c r="F153" s="554"/>
      <c r="G153" s="554"/>
      <c r="H153" s="533"/>
      <c r="I153" s="534"/>
      <c r="J153" s="534"/>
      <c r="K153" s="535"/>
      <c r="L153" s="155"/>
      <c r="M153" s="338"/>
      <c r="N153" s="159"/>
      <c r="O153" s="160"/>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563"/>
      <c r="BP153" s="563"/>
      <c r="BQ153" s="563"/>
      <c r="BR153" s="563"/>
      <c r="BS153" s="563"/>
      <c r="BT153" s="563"/>
      <c r="BU153" s="563"/>
      <c r="BV153" s="563"/>
      <c r="BW153" s="563"/>
      <c r="BX153" s="563"/>
      <c r="BY153" s="563"/>
      <c r="BZ153" s="563"/>
      <c r="CA153" s="563"/>
      <c r="CB153" s="563"/>
      <c r="CC153" s="563"/>
      <c r="CD153" s="563"/>
      <c r="CE153" s="563"/>
      <c r="CF153" s="563"/>
      <c r="CG153" s="563"/>
      <c r="CH153" s="563"/>
      <c r="CI153" s="563"/>
      <c r="CJ153" s="563"/>
      <c r="CK153" s="563"/>
      <c r="CL153" s="563"/>
      <c r="CM153" s="563"/>
      <c r="CN153" s="563"/>
      <c r="CO153" s="563"/>
      <c r="CP153" s="563"/>
      <c r="CQ153" s="563"/>
      <c r="CR153" s="563"/>
      <c r="CS153" s="563"/>
      <c r="CT153" s="563"/>
      <c r="CU153" s="563"/>
      <c r="CV153" s="563"/>
      <c r="CW153" s="563"/>
      <c r="CX153" s="563"/>
    </row>
    <row r="154" spans="1:102" ht="12.75">
      <c r="A154" s="513" t="str">
        <f>A$91</f>
        <v>Complication - Hemorrhage</v>
      </c>
      <c r="B154" s="452" t="str">
        <f>'Cost Inputs - Drug &amp; Supplies'!B35</f>
        <v>Surgical cap (disposable)</v>
      </c>
      <c r="C154" s="488">
        <v>0</v>
      </c>
      <c r="D154" s="488">
        <v>0</v>
      </c>
      <c r="E154" s="493">
        <v>3</v>
      </c>
      <c r="F154" s="494">
        <v>1</v>
      </c>
      <c r="G154" s="494">
        <v>1</v>
      </c>
      <c r="H154" s="501">
        <f>E154*F154*G154</f>
        <v>3</v>
      </c>
      <c r="I154" s="491">
        <f>VLOOKUP(B154,Drug_prices,9,FALSE)</f>
        <v>0.3251366120218579</v>
      </c>
      <c r="J154" s="491">
        <f>H154*I154</f>
        <v>0.9754098360655736</v>
      </c>
      <c r="K154" s="491">
        <f>J154*C154</f>
        <v>0</v>
      </c>
      <c r="L154" s="155">
        <f t="shared" si="39"/>
        <v>0</v>
      </c>
      <c r="M154" s="338">
        <f>IF(VLOOKUP(B154,Drug_prices,7)="x",K154,0)</f>
        <v>0</v>
      </c>
      <c r="N154" s="159"/>
      <c r="O154" s="160"/>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563"/>
      <c r="BP154" s="563"/>
      <c r="BQ154" s="563"/>
      <c r="BR154" s="563"/>
      <c r="BS154" s="563"/>
      <c r="BT154" s="563"/>
      <c r="BU154" s="563"/>
      <c r="BV154" s="563"/>
      <c r="BW154" s="563"/>
      <c r="BX154" s="563"/>
      <c r="BY154" s="563"/>
      <c r="BZ154" s="563"/>
      <c r="CA154" s="563"/>
      <c r="CB154" s="563"/>
      <c r="CC154" s="563"/>
      <c r="CD154" s="563"/>
      <c r="CE154" s="563"/>
      <c r="CF154" s="563"/>
      <c r="CG154" s="563"/>
      <c r="CH154" s="563"/>
      <c r="CI154" s="563"/>
      <c r="CJ154" s="563"/>
      <c r="CK154" s="563"/>
      <c r="CL154" s="563"/>
      <c r="CM154" s="563"/>
      <c r="CN154" s="563"/>
      <c r="CO154" s="563"/>
      <c r="CP154" s="563"/>
      <c r="CQ154" s="563"/>
      <c r="CR154" s="563"/>
      <c r="CS154" s="563"/>
      <c r="CT154" s="563"/>
      <c r="CU154" s="563"/>
      <c r="CV154" s="563"/>
      <c r="CW154" s="563"/>
      <c r="CX154" s="563"/>
    </row>
    <row r="155" spans="1:102" ht="12.75">
      <c r="A155" s="513" t="str">
        <f>A$91</f>
        <v>Complication - Hemorrhage</v>
      </c>
      <c r="B155" s="452" t="str">
        <f>'Cost Inputs - Drug &amp; Supplies'!B51</f>
        <v>Shoe covers</v>
      </c>
      <c r="C155" s="488">
        <v>1</v>
      </c>
      <c r="D155" s="488">
        <v>0</v>
      </c>
      <c r="E155" s="493">
        <v>2</v>
      </c>
      <c r="F155" s="494">
        <v>1</v>
      </c>
      <c r="G155" s="494">
        <v>1</v>
      </c>
      <c r="H155" s="501">
        <f>E155*F155*G155</f>
        <v>2</v>
      </c>
      <c r="I155" s="491">
        <f>VLOOKUP(B155,Drug_prices,9,FALSE)</f>
        <v>0.04685792349726776</v>
      </c>
      <c r="J155" s="491">
        <f>H155*I155</f>
        <v>0.09371584699453551</v>
      </c>
      <c r="K155" s="491">
        <f>J155*C155</f>
        <v>0.09371584699453551</v>
      </c>
      <c r="L155" s="155">
        <f t="shared" si="39"/>
        <v>0</v>
      </c>
      <c r="M155" s="338">
        <f>IF(VLOOKUP(B155,Drug_prices,7)="x",K155,0)</f>
        <v>0</v>
      </c>
      <c r="N155" s="159"/>
      <c r="O155" s="160"/>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G155" s="563"/>
      <c r="BH155" s="563"/>
      <c r="BI155" s="563"/>
      <c r="BJ155" s="563"/>
      <c r="BK155" s="563"/>
      <c r="BL155" s="563"/>
      <c r="BM155" s="563"/>
      <c r="BN155" s="563"/>
      <c r="BO155" s="563"/>
      <c r="BP155" s="563"/>
      <c r="BQ155" s="563"/>
      <c r="BR155" s="563"/>
      <c r="BS155" s="563"/>
      <c r="BT155" s="563"/>
      <c r="BU155" s="563"/>
      <c r="BV155" s="563"/>
      <c r="BW155" s="563"/>
      <c r="BX155" s="563"/>
      <c r="BY155" s="563"/>
      <c r="BZ155" s="563"/>
      <c r="CA155" s="563"/>
      <c r="CB155" s="563"/>
      <c r="CC155" s="563"/>
      <c r="CD155" s="563"/>
      <c r="CE155" s="563"/>
      <c r="CF155" s="563"/>
      <c r="CG155" s="563"/>
      <c r="CH155" s="563"/>
      <c r="CI155" s="563"/>
      <c r="CJ155" s="563"/>
      <c r="CK155" s="563"/>
      <c r="CL155" s="563"/>
      <c r="CM155" s="563"/>
      <c r="CN155" s="563"/>
      <c r="CO155" s="563"/>
      <c r="CP155" s="563"/>
      <c r="CQ155" s="563"/>
      <c r="CR155" s="563"/>
      <c r="CS155" s="563"/>
      <c r="CT155" s="563"/>
      <c r="CU155" s="563"/>
      <c r="CV155" s="563"/>
      <c r="CW155" s="563"/>
      <c r="CX155" s="563"/>
    </row>
    <row r="156" spans="1:102" ht="12.75">
      <c r="A156" s="513" t="str">
        <f>A$91</f>
        <v>Complication - Hemorrhage</v>
      </c>
      <c r="B156" s="452" t="str">
        <f>'Cost Inputs - Drug &amp; Supplies'!B52</f>
        <v>Sterile drape (linen drapes)</v>
      </c>
      <c r="C156" s="488">
        <v>1</v>
      </c>
      <c r="D156" s="488">
        <v>0</v>
      </c>
      <c r="E156" s="493">
        <v>2</v>
      </c>
      <c r="F156" s="494">
        <v>1</v>
      </c>
      <c r="G156" s="494">
        <v>1</v>
      </c>
      <c r="H156" s="501">
        <f>E156*F156*G156</f>
        <v>2</v>
      </c>
      <c r="I156" s="491">
        <f>VLOOKUP(B156,Drug_prices,9,FALSE)</f>
        <v>0</v>
      </c>
      <c r="J156" s="491">
        <f>H156*I156</f>
        <v>0</v>
      </c>
      <c r="K156" s="491">
        <f>J156*C156</f>
        <v>0</v>
      </c>
      <c r="L156" s="155">
        <f t="shared" si="39"/>
        <v>0</v>
      </c>
      <c r="M156" s="338">
        <f>IF(VLOOKUP(B156,Drug_prices,7)="x",K156,0)</f>
        <v>0</v>
      </c>
      <c r="N156" s="159"/>
      <c r="O156" s="160"/>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3"/>
      <c r="BM156" s="563"/>
      <c r="BN156" s="563"/>
      <c r="BO156" s="563"/>
      <c r="BP156" s="563"/>
      <c r="BQ156" s="563"/>
      <c r="BR156" s="563"/>
      <c r="BS156" s="563"/>
      <c r="BT156" s="563"/>
      <c r="BU156" s="563"/>
      <c r="BV156" s="563"/>
      <c r="BW156" s="563"/>
      <c r="BX156" s="563"/>
      <c r="BY156" s="563"/>
      <c r="BZ156" s="563"/>
      <c r="CA156" s="563"/>
      <c r="CB156" s="563"/>
      <c r="CC156" s="563"/>
      <c r="CD156" s="563"/>
      <c r="CE156" s="563"/>
      <c r="CF156" s="563"/>
      <c r="CG156" s="563"/>
      <c r="CH156" s="563"/>
      <c r="CI156" s="563"/>
      <c r="CJ156" s="563"/>
      <c r="CK156" s="563"/>
      <c r="CL156" s="563"/>
      <c r="CM156" s="563"/>
      <c r="CN156" s="563"/>
      <c r="CO156" s="563"/>
      <c r="CP156" s="563"/>
      <c r="CQ156" s="563"/>
      <c r="CR156" s="563"/>
      <c r="CS156" s="563"/>
      <c r="CT156" s="563"/>
      <c r="CU156" s="563"/>
      <c r="CV156" s="563"/>
      <c r="CW156" s="563"/>
      <c r="CX156" s="563"/>
    </row>
    <row r="157" spans="1:102" s="235" customFormat="1" ht="12.75">
      <c r="A157" s="513" t="str">
        <f>A$91</f>
        <v>Complication - Hemorrhage</v>
      </c>
      <c r="B157" s="452" t="str">
        <f>'Cost Inputs - Drug &amp; Supplies'!B53</f>
        <v>Sterile drape (60x60cm)</v>
      </c>
      <c r="C157" s="488">
        <v>0</v>
      </c>
      <c r="D157" s="488">
        <v>0</v>
      </c>
      <c r="E157" s="493">
        <v>0</v>
      </c>
      <c r="F157" s="494">
        <v>1</v>
      </c>
      <c r="G157" s="494">
        <v>1</v>
      </c>
      <c r="H157" s="501">
        <f>E157*F157*G157</f>
        <v>0</v>
      </c>
      <c r="I157" s="491">
        <f>VLOOKUP(B157,Drug_prices,9,FALSE)</f>
        <v>0.5259562841530054</v>
      </c>
      <c r="J157" s="491">
        <f>H157*I157</f>
        <v>0</v>
      </c>
      <c r="K157" s="491">
        <f>J157*C157</f>
        <v>0</v>
      </c>
      <c r="L157" s="146">
        <f t="shared" si="39"/>
        <v>0</v>
      </c>
      <c r="M157" s="338">
        <f>IF(VLOOKUP(B157,Drug_prices,7)="x",K157,0)</f>
        <v>0</v>
      </c>
      <c r="N157" s="165"/>
      <c r="O157" s="170"/>
      <c r="P157" s="236"/>
      <c r="Q157" s="237"/>
      <c r="R157" s="237"/>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c r="BZ157" s="563"/>
      <c r="CA157" s="563"/>
      <c r="CB157" s="563"/>
      <c r="CC157" s="563"/>
      <c r="CD157" s="563"/>
      <c r="CE157" s="563"/>
      <c r="CF157" s="563"/>
      <c r="CG157" s="563"/>
      <c r="CH157" s="563"/>
      <c r="CI157" s="563"/>
      <c r="CJ157" s="563"/>
      <c r="CK157" s="563"/>
      <c r="CL157" s="563"/>
      <c r="CM157" s="563"/>
      <c r="CN157" s="563"/>
      <c r="CO157" s="563"/>
      <c r="CP157" s="563"/>
      <c r="CQ157" s="563"/>
      <c r="CR157" s="563"/>
      <c r="CS157" s="563"/>
      <c r="CT157" s="563"/>
      <c r="CU157" s="563"/>
      <c r="CV157" s="563"/>
      <c r="CW157" s="563"/>
      <c r="CX157" s="563"/>
    </row>
    <row r="158" spans="1:102" ht="12.75">
      <c r="A158" s="361" t="str">
        <f>A116</f>
        <v>Complication - Sepsis</v>
      </c>
      <c r="C158" s="519"/>
      <c r="D158" s="274"/>
      <c r="E158" s="275"/>
      <c r="F158" s="276"/>
      <c r="G158" s="276"/>
      <c r="H158" s="558"/>
      <c r="I158" s="521"/>
      <c r="J158" s="277"/>
      <c r="K158" s="559"/>
      <c r="L158" s="246"/>
      <c r="M158" s="338"/>
      <c r="N158" s="247"/>
      <c r="O158" s="263"/>
      <c r="P158" s="264"/>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row>
    <row r="159" spans="1:102" s="126" customFormat="1" ht="12.75">
      <c r="A159" s="513" t="str">
        <f>A116</f>
        <v>Complication - Sepsis</v>
      </c>
      <c r="B159" s="452" t="s">
        <v>191</v>
      </c>
      <c r="C159" s="488">
        <v>0</v>
      </c>
      <c r="D159" s="488">
        <v>0</v>
      </c>
      <c r="E159" s="493">
        <v>0</v>
      </c>
      <c r="F159" s="494">
        <v>1</v>
      </c>
      <c r="G159" s="494">
        <v>1</v>
      </c>
      <c r="H159" s="690">
        <f>E159*F159*G159</f>
        <v>0</v>
      </c>
      <c r="I159" s="491">
        <f>VLOOKUP(B159,Drug_prices,9,FALSE)</f>
        <v>0</v>
      </c>
      <c r="J159" s="491">
        <f>H159*I159</f>
        <v>0</v>
      </c>
      <c r="K159" s="491">
        <f>J159*C159</f>
        <v>0</v>
      </c>
      <c r="L159" s="155">
        <f t="shared" si="39"/>
        <v>0</v>
      </c>
      <c r="M159" s="338">
        <f>IF(VLOOKUP(B159,Drug_prices,7)="x",K159,0)</f>
        <v>0</v>
      </c>
      <c r="N159" s="159"/>
      <c r="O159" s="160"/>
      <c r="P159" s="123"/>
      <c r="Q159" s="272"/>
      <c r="R159" s="272"/>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row>
    <row r="160" spans="1:102" s="126" customFormat="1" ht="12.75">
      <c r="A160" s="523" t="str">
        <f>A131</f>
        <v>Complication - Other 1</v>
      </c>
      <c r="B160" s="150"/>
      <c r="C160" s="519"/>
      <c r="D160" s="274"/>
      <c r="E160" s="275"/>
      <c r="F160" s="276"/>
      <c r="G160" s="276"/>
      <c r="H160" s="520"/>
      <c r="I160" s="521"/>
      <c r="J160" s="521"/>
      <c r="K160" s="522"/>
      <c r="L160" s="155"/>
      <c r="M160" s="338"/>
      <c r="N160" s="159"/>
      <c r="O160" s="160"/>
      <c r="P160" s="123"/>
      <c r="Q160" s="272"/>
      <c r="R160" s="272"/>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3"/>
      <c r="BM160" s="563"/>
      <c r="BN160" s="563"/>
      <c r="BO160" s="563"/>
      <c r="BP160" s="563"/>
      <c r="BQ160" s="563"/>
      <c r="BR160" s="563"/>
      <c r="BS160" s="563"/>
      <c r="BT160" s="563"/>
      <c r="BU160" s="563"/>
      <c r="BV160" s="563"/>
      <c r="BW160" s="563"/>
      <c r="BX160" s="563"/>
      <c r="BY160" s="563"/>
      <c r="BZ160" s="563"/>
      <c r="CA160" s="563"/>
      <c r="CB160" s="563"/>
      <c r="CC160" s="563"/>
      <c r="CD160" s="563"/>
      <c r="CE160" s="563"/>
      <c r="CF160" s="563"/>
      <c r="CG160" s="563"/>
      <c r="CH160" s="563"/>
      <c r="CI160" s="563"/>
      <c r="CJ160" s="563"/>
      <c r="CK160" s="563"/>
      <c r="CL160" s="563"/>
      <c r="CM160" s="563"/>
      <c r="CN160" s="563"/>
      <c r="CO160" s="563"/>
      <c r="CP160" s="563"/>
      <c r="CQ160" s="563"/>
      <c r="CR160" s="563"/>
      <c r="CS160" s="563"/>
      <c r="CT160" s="563"/>
      <c r="CU160" s="563"/>
      <c r="CV160" s="563"/>
      <c r="CW160" s="563"/>
      <c r="CX160" s="563"/>
    </row>
    <row r="161" spans="1:102" s="126" customFormat="1" ht="12.75">
      <c r="A161" s="513" t="str">
        <f>A131</f>
        <v>Complication - Other 1</v>
      </c>
      <c r="B161" s="452" t="s">
        <v>191</v>
      </c>
      <c r="C161" s="488">
        <v>0</v>
      </c>
      <c r="D161" s="488"/>
      <c r="E161" s="493">
        <v>0</v>
      </c>
      <c r="F161" s="494">
        <v>1</v>
      </c>
      <c r="G161" s="494">
        <v>1</v>
      </c>
      <c r="H161" s="690">
        <f>E161*F161*G161</f>
        <v>0</v>
      </c>
      <c r="I161" s="491">
        <f>VLOOKUP(B161,Drug_prices,9,FALSE)</f>
        <v>0</v>
      </c>
      <c r="J161" s="491">
        <f>H161*I161</f>
        <v>0</v>
      </c>
      <c r="K161" s="491">
        <f>J161*C161</f>
        <v>0</v>
      </c>
      <c r="L161" s="155"/>
      <c r="M161" s="338"/>
      <c r="N161" s="159"/>
      <c r="O161" s="160"/>
      <c r="P161" s="123"/>
      <c r="Q161" s="272"/>
      <c r="R161" s="272"/>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G161" s="563"/>
      <c r="BH161" s="563"/>
      <c r="BI161" s="563"/>
      <c r="BJ161" s="563"/>
      <c r="BK161" s="563"/>
      <c r="BL161" s="563"/>
      <c r="BM161" s="563"/>
      <c r="BN161" s="563"/>
      <c r="BO161" s="563"/>
      <c r="BP161" s="563"/>
      <c r="BQ161" s="563"/>
      <c r="BR161" s="563"/>
      <c r="BS161" s="563"/>
      <c r="BT161" s="563"/>
      <c r="BU161" s="563"/>
      <c r="BV161" s="563"/>
      <c r="BW161" s="563"/>
      <c r="BX161" s="563"/>
      <c r="BY161" s="563"/>
      <c r="BZ161" s="563"/>
      <c r="CA161" s="563"/>
      <c r="CB161" s="563"/>
      <c r="CC161" s="563"/>
      <c r="CD161" s="563"/>
      <c r="CE161" s="563"/>
      <c r="CF161" s="563"/>
      <c r="CG161" s="563"/>
      <c r="CH161" s="563"/>
      <c r="CI161" s="563"/>
      <c r="CJ161" s="563"/>
      <c r="CK161" s="563"/>
      <c r="CL161" s="563"/>
      <c r="CM161" s="563"/>
      <c r="CN161" s="563"/>
      <c r="CO161" s="563"/>
      <c r="CP161" s="563"/>
      <c r="CQ161" s="563"/>
      <c r="CR161" s="563"/>
      <c r="CS161" s="563"/>
      <c r="CT161" s="563"/>
      <c r="CU161" s="563"/>
      <c r="CV161" s="563"/>
      <c r="CW161" s="563"/>
      <c r="CX161" s="563"/>
    </row>
    <row r="162" spans="1:102" s="126" customFormat="1" ht="12.75">
      <c r="A162" s="523" t="str">
        <f>A133</f>
        <v>Complication - Other 2</v>
      </c>
      <c r="B162" s="150"/>
      <c r="C162" s="519"/>
      <c r="D162" s="274"/>
      <c r="E162" s="275"/>
      <c r="F162" s="276"/>
      <c r="G162" s="276"/>
      <c r="H162" s="520"/>
      <c r="I162" s="521"/>
      <c r="J162" s="521"/>
      <c r="K162" s="522"/>
      <c r="L162" s="155"/>
      <c r="M162" s="338"/>
      <c r="N162" s="159"/>
      <c r="O162" s="160"/>
      <c r="P162" s="123"/>
      <c r="Q162" s="272"/>
      <c r="R162" s="272"/>
      <c r="AL162" s="563"/>
      <c r="AM162" s="563"/>
      <c r="AN162" s="563"/>
      <c r="AO162" s="563"/>
      <c r="AP162" s="563"/>
      <c r="AQ162" s="563"/>
      <c r="AR162" s="563"/>
      <c r="AS162" s="563"/>
      <c r="AT162" s="563"/>
      <c r="AU162" s="563"/>
      <c r="AV162" s="563"/>
      <c r="AW162" s="563"/>
      <c r="AX162" s="563"/>
      <c r="AY162" s="563"/>
      <c r="AZ162" s="563"/>
      <c r="BA162" s="563"/>
      <c r="BB162" s="563"/>
      <c r="BC162" s="563"/>
      <c r="BD162" s="563"/>
      <c r="BE162" s="563"/>
      <c r="BF162" s="563"/>
      <c r="BG162" s="563"/>
      <c r="BH162" s="563"/>
      <c r="BI162" s="563"/>
      <c r="BJ162" s="563"/>
      <c r="BK162" s="563"/>
      <c r="BL162" s="563"/>
      <c r="BM162" s="563"/>
      <c r="BN162" s="563"/>
      <c r="BO162" s="563"/>
      <c r="BP162" s="563"/>
      <c r="BQ162" s="563"/>
      <c r="BR162" s="563"/>
      <c r="BS162" s="563"/>
      <c r="BT162" s="563"/>
      <c r="BU162" s="563"/>
      <c r="BV162" s="563"/>
      <c r="BW162" s="563"/>
      <c r="BX162" s="563"/>
      <c r="BY162" s="563"/>
      <c r="BZ162" s="563"/>
      <c r="CA162" s="563"/>
      <c r="CB162" s="563"/>
      <c r="CC162" s="563"/>
      <c r="CD162" s="563"/>
      <c r="CE162" s="563"/>
      <c r="CF162" s="563"/>
      <c r="CG162" s="563"/>
      <c r="CH162" s="563"/>
      <c r="CI162" s="563"/>
      <c r="CJ162" s="563"/>
      <c r="CK162" s="563"/>
      <c r="CL162" s="563"/>
      <c r="CM162" s="563"/>
      <c r="CN162" s="563"/>
      <c r="CO162" s="563"/>
      <c r="CP162" s="563"/>
      <c r="CQ162" s="563"/>
      <c r="CR162" s="563"/>
      <c r="CS162" s="563"/>
      <c r="CT162" s="563"/>
      <c r="CU162" s="563"/>
      <c r="CV162" s="563"/>
      <c r="CW162" s="563"/>
      <c r="CX162" s="563"/>
    </row>
    <row r="163" spans="1:102" s="126" customFormat="1" ht="12.75">
      <c r="A163" s="513" t="str">
        <f>A133</f>
        <v>Complication - Other 2</v>
      </c>
      <c r="B163" s="452" t="s">
        <v>191</v>
      </c>
      <c r="C163" s="488">
        <v>0</v>
      </c>
      <c r="D163" s="488"/>
      <c r="E163" s="493">
        <v>0</v>
      </c>
      <c r="F163" s="494">
        <v>1</v>
      </c>
      <c r="G163" s="494">
        <v>1</v>
      </c>
      <c r="H163" s="690">
        <f>E163*F163*G163</f>
        <v>0</v>
      </c>
      <c r="I163" s="491">
        <f>VLOOKUP(B163,Drug_prices,9,FALSE)</f>
        <v>0</v>
      </c>
      <c r="J163" s="491">
        <f>H163*I163</f>
        <v>0</v>
      </c>
      <c r="K163" s="491">
        <f>J163*C163</f>
        <v>0</v>
      </c>
      <c r="L163" s="155"/>
      <c r="M163" s="338"/>
      <c r="N163" s="159"/>
      <c r="O163" s="160"/>
      <c r="P163" s="123"/>
      <c r="Q163" s="272"/>
      <c r="R163" s="272"/>
      <c r="AL163" s="563"/>
      <c r="AM163" s="563"/>
      <c r="AN163" s="563"/>
      <c r="AO163" s="563"/>
      <c r="AP163" s="563"/>
      <c r="AQ163" s="563"/>
      <c r="AR163" s="563"/>
      <c r="AS163" s="563"/>
      <c r="AT163" s="563"/>
      <c r="AU163" s="563"/>
      <c r="AV163" s="563"/>
      <c r="AW163" s="563"/>
      <c r="AX163" s="563"/>
      <c r="AY163" s="563"/>
      <c r="AZ163" s="563"/>
      <c r="BA163" s="563"/>
      <c r="BB163" s="563"/>
      <c r="BC163" s="563"/>
      <c r="BD163" s="563"/>
      <c r="BE163" s="563"/>
      <c r="BF163" s="563"/>
      <c r="BG163" s="563"/>
      <c r="BH163" s="563"/>
      <c r="BI163" s="563"/>
      <c r="BJ163" s="563"/>
      <c r="BK163" s="563"/>
      <c r="BL163" s="563"/>
      <c r="BM163" s="563"/>
      <c r="BN163" s="563"/>
      <c r="BO163" s="563"/>
      <c r="BP163" s="563"/>
      <c r="BQ163" s="563"/>
      <c r="BR163" s="563"/>
      <c r="BS163" s="563"/>
      <c r="BT163" s="563"/>
      <c r="BU163" s="563"/>
      <c r="BV163" s="563"/>
      <c r="BW163" s="563"/>
      <c r="BX163" s="563"/>
      <c r="BY163" s="563"/>
      <c r="BZ163" s="563"/>
      <c r="CA163" s="563"/>
      <c r="CB163" s="563"/>
      <c r="CC163" s="563"/>
      <c r="CD163" s="563"/>
      <c r="CE163" s="563"/>
      <c r="CF163" s="563"/>
      <c r="CG163" s="563"/>
      <c r="CH163" s="563"/>
      <c r="CI163" s="563"/>
      <c r="CJ163" s="563"/>
      <c r="CK163" s="563"/>
      <c r="CL163" s="563"/>
      <c r="CM163" s="563"/>
      <c r="CN163" s="563"/>
      <c r="CO163" s="563"/>
      <c r="CP163" s="563"/>
      <c r="CQ163" s="563"/>
      <c r="CR163" s="563"/>
      <c r="CS163" s="563"/>
      <c r="CT163" s="563"/>
      <c r="CU163" s="563"/>
      <c r="CV163" s="563"/>
      <c r="CW163" s="563"/>
      <c r="CX163" s="563"/>
    </row>
    <row r="164" spans="1:102" s="169" customFormat="1" ht="12.75">
      <c r="A164" s="361" t="str">
        <f>A135</f>
        <v>Circumcision Follow-up</v>
      </c>
      <c r="B164" s="149"/>
      <c r="C164" s="519"/>
      <c r="D164" s="274"/>
      <c r="E164" s="275"/>
      <c r="F164" s="276"/>
      <c r="G164" s="276"/>
      <c r="H164" s="558"/>
      <c r="I164" s="521"/>
      <c r="J164" s="277"/>
      <c r="K164" s="559"/>
      <c r="L164" s="277"/>
      <c r="M164" s="338"/>
      <c r="N164" s="278"/>
      <c r="O164" s="282"/>
      <c r="P164" s="280"/>
      <c r="Q164" s="281"/>
      <c r="R164" s="281"/>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G164" s="563"/>
      <c r="BH164" s="563"/>
      <c r="BI164" s="563"/>
      <c r="BJ164" s="563"/>
      <c r="BK164" s="563"/>
      <c r="BL164" s="563"/>
      <c r="BM164" s="563"/>
      <c r="BN164" s="563"/>
      <c r="BO164" s="563"/>
      <c r="BP164" s="563"/>
      <c r="BQ164" s="563"/>
      <c r="BR164" s="563"/>
      <c r="BS164" s="563"/>
      <c r="BT164" s="563"/>
      <c r="BU164" s="563"/>
      <c r="BV164" s="563"/>
      <c r="BW164" s="563"/>
      <c r="BX164" s="563"/>
      <c r="BY164" s="563"/>
      <c r="BZ164" s="563"/>
      <c r="CA164" s="563"/>
      <c r="CB164" s="563"/>
      <c r="CC164" s="563"/>
      <c r="CD164" s="563"/>
      <c r="CE164" s="563"/>
      <c r="CF164" s="563"/>
      <c r="CG164" s="563"/>
      <c r="CH164" s="563"/>
      <c r="CI164" s="563"/>
      <c r="CJ164" s="563"/>
      <c r="CK164" s="563"/>
      <c r="CL164" s="563"/>
      <c r="CM164" s="563"/>
      <c r="CN164" s="563"/>
      <c r="CO164" s="563"/>
      <c r="CP164" s="563"/>
      <c r="CQ164" s="563"/>
      <c r="CR164" s="563"/>
      <c r="CS164" s="563"/>
      <c r="CT164" s="563"/>
      <c r="CU164" s="563"/>
      <c r="CV164" s="563"/>
      <c r="CW164" s="563"/>
      <c r="CX164" s="563"/>
    </row>
    <row r="165" spans="1:102" s="235" customFormat="1" ht="12.75">
      <c r="A165" s="513" t="str">
        <f>A135</f>
        <v>Circumcision Follow-up</v>
      </c>
      <c r="B165" s="452" t="s">
        <v>191</v>
      </c>
      <c r="C165" s="488">
        <v>0</v>
      </c>
      <c r="D165" s="488">
        <v>0</v>
      </c>
      <c r="E165" s="493">
        <v>0</v>
      </c>
      <c r="F165" s="494">
        <v>1</v>
      </c>
      <c r="G165" s="494">
        <v>1</v>
      </c>
      <c r="H165" s="690">
        <f>E165*F165*G165</f>
        <v>0</v>
      </c>
      <c r="I165" s="491">
        <f>VLOOKUP(B165,Drug_prices,9,FALSE)</f>
        <v>0</v>
      </c>
      <c r="J165" s="491">
        <f>H165*I165</f>
        <v>0</v>
      </c>
      <c r="K165" s="491">
        <f>J165*C165</f>
        <v>0</v>
      </c>
      <c r="L165" s="146">
        <f t="shared" si="39"/>
        <v>0</v>
      </c>
      <c r="M165" s="338">
        <f>IF(VLOOKUP(B165,Drug_prices,7)="x",K165,0)</f>
        <v>0</v>
      </c>
      <c r="N165" s="165"/>
      <c r="O165" s="170"/>
      <c r="P165" s="236"/>
      <c r="Q165" s="237"/>
      <c r="R165" s="237"/>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G165" s="563"/>
      <c r="BH165" s="563"/>
      <c r="BI165" s="563"/>
      <c r="BJ165" s="563"/>
      <c r="BK165" s="563"/>
      <c r="BL165" s="563"/>
      <c r="BM165" s="563"/>
      <c r="BN165" s="563"/>
      <c r="BO165" s="563"/>
      <c r="BP165" s="563"/>
      <c r="BQ165" s="563"/>
      <c r="BR165" s="563"/>
      <c r="BS165" s="563"/>
      <c r="BT165" s="563"/>
      <c r="BU165" s="563"/>
      <c r="BV165" s="563"/>
      <c r="BW165" s="563"/>
      <c r="BX165" s="563"/>
      <c r="BY165" s="563"/>
      <c r="BZ165" s="563"/>
      <c r="CA165" s="563"/>
      <c r="CB165" s="563"/>
      <c r="CC165" s="563"/>
      <c r="CD165" s="563"/>
      <c r="CE165" s="563"/>
      <c r="CF165" s="563"/>
      <c r="CG165" s="563"/>
      <c r="CH165" s="563"/>
      <c r="CI165" s="563"/>
      <c r="CJ165" s="563"/>
      <c r="CK165" s="563"/>
      <c r="CL165" s="563"/>
      <c r="CM165" s="563"/>
      <c r="CN165" s="563"/>
      <c r="CO165" s="563"/>
      <c r="CP165" s="563"/>
      <c r="CQ165" s="563"/>
      <c r="CR165" s="563"/>
      <c r="CS165" s="563"/>
      <c r="CT165" s="563"/>
      <c r="CU165" s="563"/>
      <c r="CV165" s="563"/>
      <c r="CW165" s="563"/>
      <c r="CX165" s="563"/>
    </row>
    <row r="166" spans="1:102" s="169" customFormat="1" ht="12.75">
      <c r="A166" s="273" t="s">
        <v>194</v>
      </c>
      <c r="B166" s="168"/>
      <c r="C166" s="519"/>
      <c r="D166" s="274"/>
      <c r="E166" s="275"/>
      <c r="F166" s="276"/>
      <c r="G166" s="276"/>
      <c r="H166" s="520"/>
      <c r="I166" s="521"/>
      <c r="J166" s="277"/>
      <c r="K166" s="559"/>
      <c r="L166" s="277"/>
      <c r="M166" s="338"/>
      <c r="N166" s="278"/>
      <c r="O166" s="279"/>
      <c r="P166" s="280"/>
      <c r="Q166" s="281"/>
      <c r="R166" s="281"/>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G166" s="563"/>
      <c r="BH166" s="563"/>
      <c r="BI166" s="563"/>
      <c r="BJ166" s="563"/>
      <c r="BK166" s="563"/>
      <c r="BL166" s="563"/>
      <c r="BM166" s="563"/>
      <c r="BN166" s="563"/>
      <c r="BO166" s="563"/>
      <c r="BP166" s="563"/>
      <c r="BQ166" s="563"/>
      <c r="BR166" s="563"/>
      <c r="BS166" s="563"/>
      <c r="BT166" s="563"/>
      <c r="BU166" s="563"/>
      <c r="BV166" s="563"/>
      <c r="BW166" s="563"/>
      <c r="BX166" s="563"/>
      <c r="BY166" s="563"/>
      <c r="BZ166" s="563"/>
      <c r="CA166" s="563"/>
      <c r="CB166" s="563"/>
      <c r="CC166" s="563"/>
      <c r="CD166" s="563"/>
      <c r="CE166" s="563"/>
      <c r="CF166" s="563"/>
      <c r="CG166" s="563"/>
      <c r="CH166" s="563"/>
      <c r="CI166" s="563"/>
      <c r="CJ166" s="563"/>
      <c r="CK166" s="563"/>
      <c r="CL166" s="563"/>
      <c r="CM166" s="563"/>
      <c r="CN166" s="563"/>
      <c r="CO166" s="563"/>
      <c r="CP166" s="563"/>
      <c r="CQ166" s="563"/>
      <c r="CR166" s="563"/>
      <c r="CS166" s="563"/>
      <c r="CT166" s="563"/>
      <c r="CU166" s="563"/>
      <c r="CV166" s="563"/>
      <c r="CW166" s="563"/>
      <c r="CX166" s="563"/>
    </row>
    <row r="167" spans="1:102" s="126" customFormat="1" ht="12.75">
      <c r="A167" s="513" t="str">
        <f>A$166</f>
        <v>Circumcision Surgical Tray</v>
      </c>
      <c r="B167" s="452" t="str">
        <f>'Cost Inputs - Drug &amp; Supplies'!B55</f>
        <v>Gallipot</v>
      </c>
      <c r="C167" s="488">
        <v>1</v>
      </c>
      <c r="D167" s="488">
        <v>0</v>
      </c>
      <c r="E167" s="493">
        <v>1</v>
      </c>
      <c r="F167" s="494">
        <v>1</v>
      </c>
      <c r="G167" s="494">
        <v>1</v>
      </c>
      <c r="H167" s="690">
        <f aca="true" t="shared" si="40" ref="H167:H176">E167*F167*G167</f>
        <v>1</v>
      </c>
      <c r="I167" s="491">
        <f aca="true" t="shared" si="41" ref="I167:I176">VLOOKUP(B167,Drug_prices,9,FALSE)</f>
        <v>1.099726775956284</v>
      </c>
      <c r="J167" s="491">
        <f aca="true" t="shared" si="42" ref="J167:J176">H167*I167</f>
        <v>1.099726775956284</v>
      </c>
      <c r="K167" s="491">
        <f aca="true" t="shared" si="43" ref="K167:K176">J167*C167</f>
        <v>1.099726775956284</v>
      </c>
      <c r="L167" s="155">
        <f aca="true" t="shared" si="44" ref="L167:L176">J167*D167</f>
        <v>0</v>
      </c>
      <c r="M167" s="338">
        <f aca="true" t="shared" si="45" ref="M167:M176">IF(VLOOKUP(B167,Drug_prices,7)="x",K167,0)</f>
        <v>0</v>
      </c>
      <c r="N167" s="159"/>
      <c r="O167" s="160"/>
      <c r="P167" s="123"/>
      <c r="Q167" s="272"/>
      <c r="R167" s="272"/>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G167" s="563"/>
      <c r="BH167" s="563"/>
      <c r="BI167" s="563"/>
      <c r="BJ167" s="563"/>
      <c r="BK167" s="563"/>
      <c r="BL167" s="563"/>
      <c r="BM167" s="563"/>
      <c r="BN167" s="563"/>
      <c r="BO167" s="563"/>
      <c r="BP167" s="563"/>
      <c r="BQ167" s="563"/>
      <c r="BR167" s="563"/>
      <c r="BS167" s="563"/>
      <c r="BT167" s="563"/>
      <c r="BU167" s="563"/>
      <c r="BV167" s="563"/>
      <c r="BW167" s="563"/>
      <c r="BX167" s="563"/>
      <c r="BY167" s="563"/>
      <c r="BZ167" s="563"/>
      <c r="CA167" s="563"/>
      <c r="CB167" s="563"/>
      <c r="CC167" s="563"/>
      <c r="CD167" s="563"/>
      <c r="CE167" s="563"/>
      <c r="CF167" s="563"/>
      <c r="CG167" s="563"/>
      <c r="CH167" s="563"/>
      <c r="CI167" s="563"/>
      <c r="CJ167" s="563"/>
      <c r="CK167" s="563"/>
      <c r="CL167" s="563"/>
      <c r="CM167" s="563"/>
      <c r="CN167" s="563"/>
      <c r="CO167" s="563"/>
      <c r="CP167" s="563"/>
      <c r="CQ167" s="563"/>
      <c r="CR167" s="563"/>
      <c r="CS167" s="563"/>
      <c r="CT167" s="563"/>
      <c r="CU167" s="563"/>
      <c r="CV167" s="563"/>
      <c r="CW167" s="563"/>
      <c r="CX167" s="563"/>
    </row>
    <row r="168" spans="1:102" s="126" customFormat="1" ht="12.75">
      <c r="A168" s="513" t="str">
        <f aca="true" t="shared" si="46" ref="A168:A176">A$166</f>
        <v>Circumcision Surgical Tray</v>
      </c>
      <c r="B168" s="452" t="str">
        <f>'Cost Inputs - Drug &amp; Supplies'!B56</f>
        <v>Sponge holding forceps 18cm</v>
      </c>
      <c r="C168" s="488">
        <v>1</v>
      </c>
      <c r="D168" s="488">
        <v>0</v>
      </c>
      <c r="E168" s="493">
        <v>1</v>
      </c>
      <c r="F168" s="494">
        <v>1</v>
      </c>
      <c r="G168" s="494">
        <v>1</v>
      </c>
      <c r="H168" s="501">
        <f t="shared" si="40"/>
        <v>1</v>
      </c>
      <c r="I168" s="491">
        <f t="shared" si="41"/>
        <v>9.528688524590164</v>
      </c>
      <c r="J168" s="491">
        <f t="shared" si="42"/>
        <v>9.528688524590164</v>
      </c>
      <c r="K168" s="491">
        <f t="shared" si="43"/>
        <v>9.528688524590164</v>
      </c>
      <c r="L168" s="155">
        <f t="shared" si="44"/>
        <v>0</v>
      </c>
      <c r="M168" s="338">
        <f t="shared" si="45"/>
        <v>0</v>
      </c>
      <c r="N168" s="159"/>
      <c r="O168" s="160"/>
      <c r="P168" s="123"/>
      <c r="Q168" s="272"/>
      <c r="R168" s="272"/>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G168" s="563"/>
      <c r="BH168" s="563"/>
      <c r="BI168" s="563"/>
      <c r="BJ168" s="563"/>
      <c r="BK168" s="563"/>
      <c r="BL168" s="563"/>
      <c r="BM168" s="563"/>
      <c r="BN168" s="563"/>
      <c r="BO168" s="563"/>
      <c r="BP168" s="563"/>
      <c r="BQ168" s="563"/>
      <c r="BR168" s="563"/>
      <c r="BS168" s="563"/>
      <c r="BT168" s="563"/>
      <c r="BU168" s="563"/>
      <c r="BV168" s="563"/>
      <c r="BW168" s="563"/>
      <c r="BX168" s="563"/>
      <c r="BY168" s="563"/>
      <c r="BZ168" s="563"/>
      <c r="CA168" s="563"/>
      <c r="CB168" s="563"/>
      <c r="CC168" s="563"/>
      <c r="CD168" s="563"/>
      <c r="CE168" s="563"/>
      <c r="CF168" s="563"/>
      <c r="CG168" s="563"/>
      <c r="CH168" s="563"/>
      <c r="CI168" s="563"/>
      <c r="CJ168" s="563"/>
      <c r="CK168" s="563"/>
      <c r="CL168" s="563"/>
      <c r="CM168" s="563"/>
      <c r="CN168" s="563"/>
      <c r="CO168" s="563"/>
      <c r="CP168" s="563"/>
      <c r="CQ168" s="563"/>
      <c r="CR168" s="563"/>
      <c r="CS168" s="563"/>
      <c r="CT168" s="563"/>
      <c r="CU168" s="563"/>
      <c r="CV168" s="563"/>
      <c r="CW168" s="563"/>
      <c r="CX168" s="563"/>
    </row>
    <row r="169" spans="1:102" s="126" customFormat="1" ht="12.75">
      <c r="A169" s="513" t="str">
        <f t="shared" si="46"/>
        <v>Circumcision Surgical Tray</v>
      </c>
      <c r="B169" s="452" t="str">
        <f>'Cost Inputs - Drug &amp; Supplies'!B57</f>
        <v>Bistouri scalpel plade holder #4</v>
      </c>
      <c r="C169" s="488">
        <v>1</v>
      </c>
      <c r="D169" s="488">
        <v>0</v>
      </c>
      <c r="E169" s="493">
        <v>1</v>
      </c>
      <c r="F169" s="494">
        <v>1</v>
      </c>
      <c r="G169" s="494">
        <v>1</v>
      </c>
      <c r="H169" s="501">
        <f t="shared" si="40"/>
        <v>1</v>
      </c>
      <c r="I169" s="491">
        <f t="shared" si="41"/>
        <v>2.021857923497268</v>
      </c>
      <c r="J169" s="491">
        <f t="shared" si="42"/>
        <v>2.021857923497268</v>
      </c>
      <c r="K169" s="491">
        <f t="shared" si="43"/>
        <v>2.021857923497268</v>
      </c>
      <c r="L169" s="155">
        <f t="shared" si="44"/>
        <v>0</v>
      </c>
      <c r="M169" s="338">
        <f t="shared" si="45"/>
        <v>0</v>
      </c>
      <c r="N169" s="159"/>
      <c r="O169" s="160"/>
      <c r="P169" s="123"/>
      <c r="Q169" s="272"/>
      <c r="R169" s="272"/>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c r="BU169" s="563"/>
      <c r="BV169" s="563"/>
      <c r="BW169" s="563"/>
      <c r="BX169" s="563"/>
      <c r="BY169" s="563"/>
      <c r="BZ169" s="563"/>
      <c r="CA169" s="563"/>
      <c r="CB169" s="563"/>
      <c r="CC169" s="563"/>
      <c r="CD169" s="563"/>
      <c r="CE169" s="563"/>
      <c r="CF169" s="563"/>
      <c r="CG169" s="563"/>
      <c r="CH169" s="563"/>
      <c r="CI169" s="563"/>
      <c r="CJ169" s="563"/>
      <c r="CK169" s="563"/>
      <c r="CL169" s="563"/>
      <c r="CM169" s="563"/>
      <c r="CN169" s="563"/>
      <c r="CO169" s="563"/>
      <c r="CP169" s="563"/>
      <c r="CQ169" s="563"/>
      <c r="CR169" s="563"/>
      <c r="CS169" s="563"/>
      <c r="CT169" s="563"/>
      <c r="CU169" s="563"/>
      <c r="CV169" s="563"/>
      <c r="CW169" s="563"/>
      <c r="CX169" s="563"/>
    </row>
    <row r="170" spans="1:102" s="126" customFormat="1" ht="12.75">
      <c r="A170" s="513" t="str">
        <f t="shared" si="46"/>
        <v>Circumcision Surgical Tray</v>
      </c>
      <c r="B170" s="452" t="str">
        <f>'Cost Inputs - Drug &amp; Supplies'!B58</f>
        <v>Straight mosquito artery forceps small</v>
      </c>
      <c r="C170" s="488">
        <v>1</v>
      </c>
      <c r="D170" s="488">
        <v>0</v>
      </c>
      <c r="E170" s="493">
        <v>2</v>
      </c>
      <c r="F170" s="494">
        <v>1</v>
      </c>
      <c r="G170" s="494">
        <v>1</v>
      </c>
      <c r="H170" s="501">
        <f t="shared" si="40"/>
        <v>2</v>
      </c>
      <c r="I170" s="491">
        <f t="shared" si="41"/>
        <v>1.830601092896175</v>
      </c>
      <c r="J170" s="491">
        <f t="shared" si="42"/>
        <v>3.66120218579235</v>
      </c>
      <c r="K170" s="491">
        <f t="shared" si="43"/>
        <v>3.66120218579235</v>
      </c>
      <c r="L170" s="155">
        <f t="shared" si="44"/>
        <v>0</v>
      </c>
      <c r="M170" s="338">
        <f t="shared" si="45"/>
        <v>0</v>
      </c>
      <c r="N170" s="159"/>
      <c r="O170" s="160"/>
      <c r="P170" s="123"/>
      <c r="Q170" s="272"/>
      <c r="R170" s="272"/>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c r="BZ170" s="563"/>
      <c r="CA170" s="563"/>
      <c r="CB170" s="563"/>
      <c r="CC170" s="563"/>
      <c r="CD170" s="563"/>
      <c r="CE170" s="563"/>
      <c r="CF170" s="563"/>
      <c r="CG170" s="563"/>
      <c r="CH170" s="563"/>
      <c r="CI170" s="563"/>
      <c r="CJ170" s="563"/>
      <c r="CK170" s="563"/>
      <c r="CL170" s="563"/>
      <c r="CM170" s="563"/>
      <c r="CN170" s="563"/>
      <c r="CO170" s="563"/>
      <c r="CP170" s="563"/>
      <c r="CQ170" s="563"/>
      <c r="CR170" s="563"/>
      <c r="CS170" s="563"/>
      <c r="CT170" s="563"/>
      <c r="CU170" s="563"/>
      <c r="CV170" s="563"/>
      <c r="CW170" s="563"/>
      <c r="CX170" s="563"/>
    </row>
    <row r="171" spans="1:102" s="126" customFormat="1" ht="12.75">
      <c r="A171" s="513" t="str">
        <f t="shared" si="46"/>
        <v>Circumcision Surgical Tray</v>
      </c>
      <c r="B171" s="452" t="str">
        <f>'Cost Inputs - Drug &amp; Supplies'!B59</f>
        <v>Curved mosquito artery forceps small</v>
      </c>
      <c r="C171" s="488">
        <v>1</v>
      </c>
      <c r="D171" s="488">
        <v>0</v>
      </c>
      <c r="E171" s="493">
        <v>2</v>
      </c>
      <c r="F171" s="494">
        <v>1</v>
      </c>
      <c r="G171" s="494">
        <v>1</v>
      </c>
      <c r="H171" s="501">
        <f t="shared" si="40"/>
        <v>2</v>
      </c>
      <c r="I171" s="491">
        <f t="shared" si="41"/>
        <v>1.830601092896175</v>
      </c>
      <c r="J171" s="491">
        <f t="shared" si="42"/>
        <v>3.66120218579235</v>
      </c>
      <c r="K171" s="491">
        <f t="shared" si="43"/>
        <v>3.66120218579235</v>
      </c>
      <c r="L171" s="155">
        <f t="shared" si="44"/>
        <v>0</v>
      </c>
      <c r="M171" s="338">
        <f t="shared" si="45"/>
        <v>0</v>
      </c>
      <c r="N171" s="159"/>
      <c r="O171" s="160"/>
      <c r="P171" s="123"/>
      <c r="Q171" s="272"/>
      <c r="R171" s="272"/>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c r="BZ171" s="563"/>
      <c r="CA171" s="563"/>
      <c r="CB171" s="563"/>
      <c r="CC171" s="563"/>
      <c r="CD171" s="563"/>
      <c r="CE171" s="563"/>
      <c r="CF171" s="563"/>
      <c r="CG171" s="563"/>
      <c r="CH171" s="563"/>
      <c r="CI171" s="563"/>
      <c r="CJ171" s="563"/>
      <c r="CK171" s="563"/>
      <c r="CL171" s="563"/>
      <c r="CM171" s="563"/>
      <c r="CN171" s="563"/>
      <c r="CO171" s="563"/>
      <c r="CP171" s="563"/>
      <c r="CQ171" s="563"/>
      <c r="CR171" s="563"/>
      <c r="CS171" s="563"/>
      <c r="CT171" s="563"/>
      <c r="CU171" s="563"/>
      <c r="CV171" s="563"/>
      <c r="CW171" s="563"/>
      <c r="CX171" s="563"/>
    </row>
    <row r="172" spans="1:102" s="126" customFormat="1" ht="12.75">
      <c r="A172" s="513" t="str">
        <f t="shared" si="46"/>
        <v>Circumcision Surgical Tray</v>
      </c>
      <c r="B172" s="452" t="str">
        <f>'Cost Inputs - Drug &amp; Supplies'!B60</f>
        <v>ForcepsN/H mayo hager 14-16cm</v>
      </c>
      <c r="C172" s="488">
        <v>1</v>
      </c>
      <c r="D172" s="488">
        <v>0</v>
      </c>
      <c r="E172" s="493">
        <v>1</v>
      </c>
      <c r="F172" s="494">
        <v>1</v>
      </c>
      <c r="G172" s="494">
        <v>1</v>
      </c>
      <c r="H172" s="501">
        <f t="shared" si="40"/>
        <v>1</v>
      </c>
      <c r="I172" s="491">
        <f t="shared" si="41"/>
        <v>2.663934426229508</v>
      </c>
      <c r="J172" s="491">
        <f t="shared" si="42"/>
        <v>2.663934426229508</v>
      </c>
      <c r="K172" s="491">
        <f t="shared" si="43"/>
        <v>2.663934426229508</v>
      </c>
      <c r="L172" s="155">
        <f t="shared" si="44"/>
        <v>0</v>
      </c>
      <c r="M172" s="338">
        <f t="shared" si="45"/>
        <v>0</v>
      </c>
      <c r="N172" s="159"/>
      <c r="O172" s="160"/>
      <c r="P172" s="123"/>
      <c r="Q172" s="272"/>
      <c r="R172" s="272"/>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c r="BZ172" s="563"/>
      <c r="CA172" s="563"/>
      <c r="CB172" s="563"/>
      <c r="CC172" s="563"/>
      <c r="CD172" s="563"/>
      <c r="CE172" s="563"/>
      <c r="CF172" s="563"/>
      <c r="CG172" s="563"/>
      <c r="CH172" s="563"/>
      <c r="CI172" s="563"/>
      <c r="CJ172" s="563"/>
      <c r="CK172" s="563"/>
      <c r="CL172" s="563"/>
      <c r="CM172" s="563"/>
      <c r="CN172" s="563"/>
      <c r="CO172" s="563"/>
      <c r="CP172" s="563"/>
      <c r="CQ172" s="563"/>
      <c r="CR172" s="563"/>
      <c r="CS172" s="563"/>
      <c r="CT172" s="563"/>
      <c r="CU172" s="563"/>
      <c r="CV172" s="563"/>
      <c r="CW172" s="563"/>
      <c r="CX172" s="563"/>
    </row>
    <row r="173" spans="1:102" s="126" customFormat="1" ht="12.75">
      <c r="A173" s="513" t="str">
        <f t="shared" si="46"/>
        <v>Circumcision Surgical Tray</v>
      </c>
      <c r="B173" s="452" t="str">
        <f>'Cost Inputs - Drug &amp; Supplies'!B61</f>
        <v>XAdson fine non-toothed dissecting forceps</v>
      </c>
      <c r="C173" s="488">
        <v>1</v>
      </c>
      <c r="D173" s="488">
        <v>0</v>
      </c>
      <c r="E173" s="493">
        <v>1</v>
      </c>
      <c r="F173" s="494">
        <v>1</v>
      </c>
      <c r="G173" s="494">
        <v>1</v>
      </c>
      <c r="H173" s="501">
        <f t="shared" si="40"/>
        <v>1</v>
      </c>
      <c r="I173" s="491">
        <f t="shared" si="41"/>
        <v>2.1857923497267757</v>
      </c>
      <c r="J173" s="491">
        <f t="shared" si="42"/>
        <v>2.1857923497267757</v>
      </c>
      <c r="K173" s="491">
        <f t="shared" si="43"/>
        <v>2.1857923497267757</v>
      </c>
      <c r="L173" s="155">
        <f t="shared" si="44"/>
        <v>0</v>
      </c>
      <c r="M173" s="338">
        <f t="shared" si="45"/>
        <v>0</v>
      </c>
      <c r="N173" s="159"/>
      <c r="O173" s="160"/>
      <c r="P173" s="123"/>
      <c r="Q173" s="272"/>
      <c r="R173" s="272"/>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G173" s="563"/>
      <c r="BH173" s="563"/>
      <c r="BI173" s="563"/>
      <c r="BJ173" s="563"/>
      <c r="BK173" s="563"/>
      <c r="BL173" s="563"/>
      <c r="BM173" s="563"/>
      <c r="BN173" s="563"/>
      <c r="BO173" s="563"/>
      <c r="BP173" s="563"/>
      <c r="BQ173" s="563"/>
      <c r="BR173" s="563"/>
      <c r="BS173" s="563"/>
      <c r="BT173" s="563"/>
      <c r="BU173" s="563"/>
      <c r="BV173" s="563"/>
      <c r="BW173" s="563"/>
      <c r="BX173" s="563"/>
      <c r="BY173" s="563"/>
      <c r="BZ173" s="563"/>
      <c r="CA173" s="563"/>
      <c r="CB173" s="563"/>
      <c r="CC173" s="563"/>
      <c r="CD173" s="563"/>
      <c r="CE173" s="563"/>
      <c r="CF173" s="563"/>
      <c r="CG173" s="563"/>
      <c r="CH173" s="563"/>
      <c r="CI173" s="563"/>
      <c r="CJ173" s="563"/>
      <c r="CK173" s="563"/>
      <c r="CL173" s="563"/>
      <c r="CM173" s="563"/>
      <c r="CN173" s="563"/>
      <c r="CO173" s="563"/>
      <c r="CP173" s="563"/>
      <c r="CQ173" s="563"/>
      <c r="CR173" s="563"/>
      <c r="CS173" s="563"/>
      <c r="CT173" s="563"/>
      <c r="CU173" s="563"/>
      <c r="CV173" s="563"/>
      <c r="CW173" s="563"/>
      <c r="CX173" s="563"/>
    </row>
    <row r="174" spans="1:102" s="126" customFormat="1" ht="12.75">
      <c r="A174" s="513" t="str">
        <f t="shared" si="46"/>
        <v>Circumcision Surgical Tray</v>
      </c>
      <c r="B174" s="452" t="str">
        <f>'Cost Inputs - Drug &amp; Supplies'!B62</f>
        <v>Surgical scissors BL ST</v>
      </c>
      <c r="C174" s="488">
        <v>1</v>
      </c>
      <c r="D174" s="488">
        <v>0</v>
      </c>
      <c r="E174" s="493">
        <v>1</v>
      </c>
      <c r="F174" s="494">
        <v>1</v>
      </c>
      <c r="G174" s="494">
        <v>1</v>
      </c>
      <c r="H174" s="501">
        <f t="shared" si="40"/>
        <v>1</v>
      </c>
      <c r="I174" s="491">
        <f t="shared" si="41"/>
        <v>2.1038251366120218</v>
      </c>
      <c r="J174" s="491">
        <f t="shared" si="42"/>
        <v>2.1038251366120218</v>
      </c>
      <c r="K174" s="491">
        <f t="shared" si="43"/>
        <v>2.1038251366120218</v>
      </c>
      <c r="L174" s="155">
        <f t="shared" si="44"/>
        <v>0</v>
      </c>
      <c r="M174" s="338">
        <f t="shared" si="45"/>
        <v>0</v>
      </c>
      <c r="N174" s="159"/>
      <c r="O174" s="160"/>
      <c r="P174" s="123"/>
      <c r="Q174" s="272"/>
      <c r="R174" s="272"/>
      <c r="AL174" s="563"/>
      <c r="AM174" s="563"/>
      <c r="AN174" s="563"/>
      <c r="AO174" s="563"/>
      <c r="AP174" s="563"/>
      <c r="AQ174" s="563"/>
      <c r="AR174" s="563"/>
      <c r="AS174" s="563"/>
      <c r="AT174" s="563"/>
      <c r="AU174" s="563"/>
      <c r="AV174" s="563"/>
      <c r="AW174" s="563"/>
      <c r="AX174" s="563"/>
      <c r="AY174" s="563"/>
      <c r="AZ174" s="563"/>
      <c r="BA174" s="563"/>
      <c r="BB174" s="563"/>
      <c r="BC174" s="563"/>
      <c r="BD174" s="563"/>
      <c r="BE174" s="563"/>
      <c r="BF174" s="563"/>
      <c r="BG174" s="563"/>
      <c r="BH174" s="563"/>
      <c r="BI174" s="563"/>
      <c r="BJ174" s="563"/>
      <c r="BK174" s="563"/>
      <c r="BL174" s="563"/>
      <c r="BM174" s="563"/>
      <c r="BN174" s="563"/>
      <c r="BO174" s="563"/>
      <c r="BP174" s="563"/>
      <c r="BQ174" s="563"/>
      <c r="BR174" s="563"/>
      <c r="BS174" s="563"/>
      <c r="BT174" s="563"/>
      <c r="BU174" s="563"/>
      <c r="BV174" s="563"/>
      <c r="BW174" s="563"/>
      <c r="BX174" s="563"/>
      <c r="BY174" s="563"/>
      <c r="BZ174" s="563"/>
      <c r="CA174" s="563"/>
      <c r="CB174" s="563"/>
      <c r="CC174" s="563"/>
      <c r="CD174" s="563"/>
      <c r="CE174" s="563"/>
      <c r="CF174" s="563"/>
      <c r="CG174" s="563"/>
      <c r="CH174" s="563"/>
      <c r="CI174" s="563"/>
      <c r="CJ174" s="563"/>
      <c r="CK174" s="563"/>
      <c r="CL174" s="563"/>
      <c r="CM174" s="563"/>
      <c r="CN174" s="563"/>
      <c r="CO174" s="563"/>
      <c r="CP174" s="563"/>
      <c r="CQ174" s="563"/>
      <c r="CR174" s="563"/>
      <c r="CS174" s="563"/>
      <c r="CT174" s="563"/>
      <c r="CU174" s="563"/>
      <c r="CV174" s="563"/>
      <c r="CW174" s="563"/>
      <c r="CX174" s="563"/>
    </row>
    <row r="175" spans="1:102" s="126" customFormat="1" ht="12.75">
      <c r="A175" s="513" t="str">
        <f t="shared" si="46"/>
        <v>Circumcision Surgical Tray</v>
      </c>
      <c r="B175" s="452" t="str">
        <f>'Cost Inputs - Drug &amp; Supplies'!B63</f>
        <v>Mayo scissors</v>
      </c>
      <c r="C175" s="488">
        <v>1</v>
      </c>
      <c r="D175" s="488">
        <v>0</v>
      </c>
      <c r="E175" s="493">
        <v>1</v>
      </c>
      <c r="F175" s="494">
        <v>1</v>
      </c>
      <c r="G175" s="494">
        <v>1</v>
      </c>
      <c r="H175" s="501">
        <f t="shared" si="40"/>
        <v>1</v>
      </c>
      <c r="I175" s="491">
        <f t="shared" si="41"/>
        <v>3.360655737704918</v>
      </c>
      <c r="J175" s="491">
        <f t="shared" si="42"/>
        <v>3.360655737704918</v>
      </c>
      <c r="K175" s="491">
        <f t="shared" si="43"/>
        <v>3.360655737704918</v>
      </c>
      <c r="L175" s="155">
        <f t="shared" si="44"/>
        <v>0</v>
      </c>
      <c r="M175" s="338">
        <f t="shared" si="45"/>
        <v>0</v>
      </c>
      <c r="N175" s="159"/>
      <c r="O175" s="160"/>
      <c r="P175" s="123"/>
      <c r="Q175" s="272"/>
      <c r="R175" s="272"/>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G175" s="563"/>
      <c r="BH175" s="563"/>
      <c r="BI175" s="563"/>
      <c r="BJ175" s="563"/>
      <c r="BK175" s="563"/>
      <c r="BL175" s="563"/>
      <c r="BM175" s="563"/>
      <c r="BN175" s="563"/>
      <c r="BO175" s="563"/>
      <c r="BP175" s="563"/>
      <c r="BQ175" s="563"/>
      <c r="BR175" s="563"/>
      <c r="BS175" s="563"/>
      <c r="BT175" s="563"/>
      <c r="BU175" s="563"/>
      <c r="BV175" s="563"/>
      <c r="BW175" s="563"/>
      <c r="BX175" s="563"/>
      <c r="BY175" s="563"/>
      <c r="BZ175" s="563"/>
      <c r="CA175" s="563"/>
      <c r="CB175" s="563"/>
      <c r="CC175" s="563"/>
      <c r="CD175" s="563"/>
      <c r="CE175" s="563"/>
      <c r="CF175" s="563"/>
      <c r="CG175" s="563"/>
      <c r="CH175" s="563"/>
      <c r="CI175" s="563"/>
      <c r="CJ175" s="563"/>
      <c r="CK175" s="563"/>
      <c r="CL175" s="563"/>
      <c r="CM175" s="563"/>
      <c r="CN175" s="563"/>
      <c r="CO175" s="563"/>
      <c r="CP175" s="563"/>
      <c r="CQ175" s="563"/>
      <c r="CR175" s="563"/>
      <c r="CS175" s="563"/>
      <c r="CT175" s="563"/>
      <c r="CU175" s="563"/>
      <c r="CV175" s="563"/>
      <c r="CW175" s="563"/>
      <c r="CX175" s="563"/>
    </row>
    <row r="176" spans="1:102" s="235" customFormat="1" ht="12.75">
      <c r="A176" s="513" t="str">
        <f t="shared" si="46"/>
        <v>Circumcision Surgical Tray</v>
      </c>
      <c r="B176" s="452" t="str">
        <f>'Cost Inputs - Drug &amp; Supplies'!B64</f>
        <v>Dissecting tray and lid</v>
      </c>
      <c r="C176" s="488">
        <v>1</v>
      </c>
      <c r="D176" s="488">
        <v>0</v>
      </c>
      <c r="E176" s="493">
        <v>0</v>
      </c>
      <c r="F176" s="494">
        <v>1</v>
      </c>
      <c r="G176" s="494">
        <v>1</v>
      </c>
      <c r="H176" s="501">
        <f t="shared" si="40"/>
        <v>0</v>
      </c>
      <c r="I176" s="491">
        <f t="shared" si="41"/>
        <v>16.90573770491803</v>
      </c>
      <c r="J176" s="491">
        <f t="shared" si="42"/>
        <v>0</v>
      </c>
      <c r="K176" s="491">
        <f t="shared" si="43"/>
        <v>0</v>
      </c>
      <c r="L176" s="146">
        <f t="shared" si="44"/>
        <v>0</v>
      </c>
      <c r="M176" s="338">
        <f t="shared" si="45"/>
        <v>0</v>
      </c>
      <c r="N176" s="165"/>
      <c r="O176" s="170"/>
      <c r="P176" s="236"/>
      <c r="Q176" s="237"/>
      <c r="R176" s="237"/>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G176" s="563"/>
      <c r="BH176" s="563"/>
      <c r="BI176" s="563"/>
      <c r="BJ176" s="563"/>
      <c r="BK176" s="563"/>
      <c r="BL176" s="563"/>
      <c r="BM176" s="563"/>
      <c r="BN176" s="563"/>
      <c r="BO176" s="563"/>
      <c r="BP176" s="563"/>
      <c r="BQ176" s="563"/>
      <c r="BR176" s="563"/>
      <c r="BS176" s="563"/>
      <c r="BT176" s="563"/>
      <c r="BU176" s="563"/>
      <c r="BV176" s="563"/>
      <c r="BW176" s="563"/>
      <c r="BX176" s="563"/>
      <c r="BY176" s="563"/>
      <c r="BZ176" s="563"/>
      <c r="CA176" s="563"/>
      <c r="CB176" s="563"/>
      <c r="CC176" s="563"/>
      <c r="CD176" s="563"/>
      <c r="CE176" s="563"/>
      <c r="CF176" s="563"/>
      <c r="CG176" s="563"/>
      <c r="CH176" s="563"/>
      <c r="CI176" s="563"/>
      <c r="CJ176" s="563"/>
      <c r="CK176" s="563"/>
      <c r="CL176" s="563"/>
      <c r="CM176" s="563"/>
      <c r="CN176" s="563"/>
      <c r="CO176" s="563"/>
      <c r="CP176" s="563"/>
      <c r="CQ176" s="563"/>
      <c r="CR176" s="563"/>
      <c r="CS176" s="563"/>
      <c r="CT176" s="563"/>
      <c r="CU176" s="563"/>
      <c r="CV176" s="563"/>
      <c r="CW176" s="563"/>
      <c r="CX176" s="563"/>
    </row>
    <row r="177" spans="1:102" ht="12.75">
      <c r="A177" s="361" t="s">
        <v>153</v>
      </c>
      <c r="B177" s="268"/>
      <c r="C177" s="241"/>
      <c r="D177" s="241"/>
      <c r="E177" s="275"/>
      <c r="F177" s="276"/>
      <c r="G177" s="276"/>
      <c r="H177" s="520"/>
      <c r="I177" s="521"/>
      <c r="J177" s="277"/>
      <c r="K177" s="559"/>
      <c r="L177" s="246"/>
      <c r="M177" s="338"/>
      <c r="N177" s="247"/>
      <c r="O177" s="248"/>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3"/>
      <c r="BP177" s="563"/>
      <c r="BQ177" s="563"/>
      <c r="BR177" s="563"/>
      <c r="BS177" s="563"/>
      <c r="BT177" s="563"/>
      <c r="BU177" s="563"/>
      <c r="BV177" s="563"/>
      <c r="BW177" s="563"/>
      <c r="BX177" s="563"/>
      <c r="BY177" s="563"/>
      <c r="BZ177" s="563"/>
      <c r="CA177" s="563"/>
      <c r="CB177" s="563"/>
      <c r="CC177" s="563"/>
      <c r="CD177" s="563"/>
      <c r="CE177" s="563"/>
      <c r="CF177" s="563"/>
      <c r="CG177" s="563"/>
      <c r="CH177" s="563"/>
      <c r="CI177" s="563"/>
      <c r="CJ177" s="563"/>
      <c r="CK177" s="563"/>
      <c r="CL177" s="563"/>
      <c r="CM177" s="563"/>
      <c r="CN177" s="563"/>
      <c r="CO177" s="563"/>
      <c r="CP177" s="563"/>
      <c r="CQ177" s="563"/>
      <c r="CR177" s="563"/>
      <c r="CS177" s="563"/>
      <c r="CT177" s="563"/>
      <c r="CU177" s="563"/>
      <c r="CV177" s="563"/>
      <c r="CW177" s="563"/>
      <c r="CX177" s="563"/>
    </row>
    <row r="178" spans="1:102" ht="12.75">
      <c r="A178" s="513" t="str">
        <f>A$177</f>
        <v>Emergency Tray</v>
      </c>
      <c r="B178" s="452" t="str">
        <f>'Cost Inputs - Drug &amp; Supplies'!B66</f>
        <v>Solu Cortef 100mg/2ml</v>
      </c>
      <c r="C178" s="488">
        <v>1</v>
      </c>
      <c r="D178" s="488">
        <v>0</v>
      </c>
      <c r="E178" s="493">
        <v>1</v>
      </c>
      <c r="F178" s="494">
        <v>1</v>
      </c>
      <c r="G178" s="494">
        <v>1</v>
      </c>
      <c r="H178" s="690">
        <f aca="true" t="shared" si="47" ref="H178:H185">E178*F178*G178</f>
        <v>1</v>
      </c>
      <c r="I178" s="491">
        <f aca="true" t="shared" si="48" ref="I178:I185">VLOOKUP(B178,Drug_prices,9,FALSE)</f>
        <v>3.7349726775956285</v>
      </c>
      <c r="J178" s="491">
        <f>H178*I178</f>
        <v>3.7349726775956285</v>
      </c>
      <c r="K178" s="491">
        <f>J178*C178</f>
        <v>3.7349726775956285</v>
      </c>
      <c r="L178" s="155">
        <f>J178*D178</f>
        <v>0</v>
      </c>
      <c r="M178" s="338">
        <f aca="true" t="shared" si="49" ref="M178:M185">IF(VLOOKUP(B178,Drug_prices,7)="x",K178,0)</f>
        <v>0</v>
      </c>
      <c r="N178" s="159"/>
      <c r="O178" s="160"/>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3"/>
      <c r="BP178" s="563"/>
      <c r="BQ178" s="563"/>
      <c r="BR178" s="563"/>
      <c r="BS178" s="563"/>
      <c r="BT178" s="563"/>
      <c r="BU178" s="563"/>
      <c r="BV178" s="563"/>
      <c r="BW178" s="563"/>
      <c r="BX178" s="563"/>
      <c r="BY178" s="563"/>
      <c r="BZ178" s="563"/>
      <c r="CA178" s="563"/>
      <c r="CB178" s="563"/>
      <c r="CC178" s="563"/>
      <c r="CD178" s="563"/>
      <c r="CE178" s="563"/>
      <c r="CF178" s="563"/>
      <c r="CG178" s="563"/>
      <c r="CH178" s="563"/>
      <c r="CI178" s="563"/>
      <c r="CJ178" s="563"/>
      <c r="CK178" s="563"/>
      <c r="CL178" s="563"/>
      <c r="CM178" s="563"/>
      <c r="CN178" s="563"/>
      <c r="CO178" s="563"/>
      <c r="CP178" s="563"/>
      <c r="CQ178" s="563"/>
      <c r="CR178" s="563"/>
      <c r="CS178" s="563"/>
      <c r="CT178" s="563"/>
      <c r="CU178" s="563"/>
      <c r="CV178" s="563"/>
      <c r="CW178" s="563"/>
      <c r="CX178" s="563"/>
    </row>
    <row r="179" spans="1:102" ht="12.75">
      <c r="A179" s="513" t="str">
        <f aca="true" t="shared" si="50" ref="A179:A185">A$177</f>
        <v>Emergency Tray</v>
      </c>
      <c r="B179" s="452" t="str">
        <f>'Cost Inputs - Drug &amp; Supplies'!B67</f>
        <v>XAdrenaline 1mg/2ml</v>
      </c>
      <c r="C179" s="488">
        <v>1</v>
      </c>
      <c r="D179" s="488">
        <v>0</v>
      </c>
      <c r="E179" s="493">
        <v>1</v>
      </c>
      <c r="F179" s="494">
        <v>1</v>
      </c>
      <c r="G179" s="494">
        <v>1</v>
      </c>
      <c r="H179" s="501">
        <f t="shared" si="47"/>
        <v>1</v>
      </c>
      <c r="I179" s="491">
        <f t="shared" si="48"/>
        <v>0.21174863387978143</v>
      </c>
      <c r="J179" s="491">
        <f aca="true" t="shared" si="51" ref="J179:J185">H179*I179</f>
        <v>0.21174863387978143</v>
      </c>
      <c r="K179" s="491">
        <f aca="true" t="shared" si="52" ref="K179:K185">J179*C179</f>
        <v>0.21174863387978143</v>
      </c>
      <c r="L179" s="155">
        <f aca="true" t="shared" si="53" ref="L179:L185">J179*D179</f>
        <v>0</v>
      </c>
      <c r="M179" s="338">
        <f t="shared" si="49"/>
        <v>0</v>
      </c>
      <c r="N179" s="159"/>
      <c r="O179" s="160"/>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row>
    <row r="180" spans="1:102" ht="12.75">
      <c r="A180" s="513" t="str">
        <f t="shared" si="50"/>
        <v>Emergency Tray</v>
      </c>
      <c r="B180" s="452" t="str">
        <f>'Cost Inputs - Drug &amp; Supplies'!B68</f>
        <v>Atropine 1mg/ml</v>
      </c>
      <c r="C180" s="488">
        <v>1</v>
      </c>
      <c r="D180" s="488">
        <v>0</v>
      </c>
      <c r="E180" s="493">
        <v>1</v>
      </c>
      <c r="F180" s="494">
        <v>1</v>
      </c>
      <c r="G180" s="494">
        <v>1</v>
      </c>
      <c r="H180" s="501">
        <f t="shared" si="47"/>
        <v>1</v>
      </c>
      <c r="I180" s="491">
        <f t="shared" si="48"/>
        <v>0.2581967213114754</v>
      </c>
      <c r="J180" s="491">
        <f t="shared" si="51"/>
        <v>0.2581967213114754</v>
      </c>
      <c r="K180" s="491">
        <f t="shared" si="52"/>
        <v>0.2581967213114754</v>
      </c>
      <c r="L180" s="155">
        <f t="shared" si="53"/>
        <v>0</v>
      </c>
      <c r="M180" s="338">
        <f t="shared" si="49"/>
        <v>0</v>
      </c>
      <c r="N180" s="159"/>
      <c r="O180" s="160"/>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G180" s="563"/>
      <c r="BH180" s="563"/>
      <c r="BI180" s="563"/>
      <c r="BJ180" s="563"/>
      <c r="BK180" s="563"/>
      <c r="BL180" s="563"/>
      <c r="BM180" s="563"/>
      <c r="BN180" s="563"/>
      <c r="BO180" s="563"/>
      <c r="BP180" s="563"/>
      <c r="BQ180" s="563"/>
      <c r="BR180" s="563"/>
      <c r="BS180" s="563"/>
      <c r="BT180" s="563"/>
      <c r="BU180" s="563"/>
      <c r="BV180" s="563"/>
      <c r="BW180" s="563"/>
      <c r="BX180" s="563"/>
      <c r="BY180" s="563"/>
      <c r="BZ180" s="563"/>
      <c r="CA180" s="563"/>
      <c r="CB180" s="563"/>
      <c r="CC180" s="563"/>
      <c r="CD180" s="563"/>
      <c r="CE180" s="563"/>
      <c r="CF180" s="563"/>
      <c r="CG180" s="563"/>
      <c r="CH180" s="563"/>
      <c r="CI180" s="563"/>
      <c r="CJ180" s="563"/>
      <c r="CK180" s="563"/>
      <c r="CL180" s="563"/>
      <c r="CM180" s="563"/>
      <c r="CN180" s="563"/>
      <c r="CO180" s="563"/>
      <c r="CP180" s="563"/>
      <c r="CQ180" s="563"/>
      <c r="CR180" s="563"/>
      <c r="CS180" s="563"/>
      <c r="CT180" s="563"/>
      <c r="CU180" s="563"/>
      <c r="CV180" s="563"/>
      <c r="CW180" s="563"/>
      <c r="CX180" s="563"/>
    </row>
    <row r="181" spans="1:102" ht="12.75">
      <c r="A181" s="513" t="str">
        <f t="shared" si="50"/>
        <v>Emergency Tray</v>
      </c>
      <c r="B181" s="452" t="str">
        <f>'Cost Inputs - Drug &amp; Supplies'!B69</f>
        <v>Diazepam 10mg/2ml</v>
      </c>
      <c r="C181" s="488">
        <v>1</v>
      </c>
      <c r="D181" s="488">
        <v>0</v>
      </c>
      <c r="E181" s="493">
        <v>1</v>
      </c>
      <c r="F181" s="494">
        <v>1</v>
      </c>
      <c r="G181" s="494">
        <v>1</v>
      </c>
      <c r="H181" s="501">
        <f t="shared" si="47"/>
        <v>1</v>
      </c>
      <c r="I181" s="491">
        <f t="shared" si="48"/>
        <v>0.314207650273224</v>
      </c>
      <c r="J181" s="491">
        <f t="shared" si="51"/>
        <v>0.314207650273224</v>
      </c>
      <c r="K181" s="491">
        <f t="shared" si="52"/>
        <v>0.314207650273224</v>
      </c>
      <c r="L181" s="155">
        <f t="shared" si="53"/>
        <v>0</v>
      </c>
      <c r="M181" s="338">
        <f t="shared" si="49"/>
        <v>0</v>
      </c>
      <c r="N181" s="159"/>
      <c r="O181" s="160"/>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G181" s="563"/>
      <c r="BH181" s="563"/>
      <c r="BI181" s="563"/>
      <c r="BJ181" s="563"/>
      <c r="BK181" s="563"/>
      <c r="BL181" s="563"/>
      <c r="BM181" s="563"/>
      <c r="BN181" s="563"/>
      <c r="BO181" s="563"/>
      <c r="BP181" s="563"/>
      <c r="BQ181" s="563"/>
      <c r="BR181" s="563"/>
      <c r="BS181" s="563"/>
      <c r="BT181" s="563"/>
      <c r="BU181" s="563"/>
      <c r="BV181" s="563"/>
      <c r="BW181" s="563"/>
      <c r="BX181" s="563"/>
      <c r="BY181" s="563"/>
      <c r="BZ181" s="563"/>
      <c r="CA181" s="563"/>
      <c r="CB181" s="563"/>
      <c r="CC181" s="563"/>
      <c r="CD181" s="563"/>
      <c r="CE181" s="563"/>
      <c r="CF181" s="563"/>
      <c r="CG181" s="563"/>
      <c r="CH181" s="563"/>
      <c r="CI181" s="563"/>
      <c r="CJ181" s="563"/>
      <c r="CK181" s="563"/>
      <c r="CL181" s="563"/>
      <c r="CM181" s="563"/>
      <c r="CN181" s="563"/>
      <c r="CO181" s="563"/>
      <c r="CP181" s="563"/>
      <c r="CQ181" s="563"/>
      <c r="CR181" s="563"/>
      <c r="CS181" s="563"/>
      <c r="CT181" s="563"/>
      <c r="CU181" s="563"/>
      <c r="CV181" s="563"/>
      <c r="CW181" s="563"/>
      <c r="CX181" s="563"/>
    </row>
    <row r="182" spans="1:102" ht="12.75">
      <c r="A182" s="513" t="str">
        <f t="shared" si="50"/>
        <v>Emergency Tray</v>
      </c>
      <c r="B182" s="452" t="str">
        <f>'Cost Inputs - Drug &amp; Supplies'!B70</f>
        <v>IV canula (Jelo radiopaque) 18 guage</v>
      </c>
      <c r="C182" s="488">
        <v>1</v>
      </c>
      <c r="D182" s="488">
        <v>0</v>
      </c>
      <c r="E182" s="493">
        <v>1</v>
      </c>
      <c r="F182" s="494">
        <v>1</v>
      </c>
      <c r="G182" s="494">
        <v>1</v>
      </c>
      <c r="H182" s="501">
        <f t="shared" si="47"/>
        <v>1</v>
      </c>
      <c r="I182" s="491">
        <f t="shared" si="48"/>
        <v>1.6666666666666665</v>
      </c>
      <c r="J182" s="491">
        <f t="shared" si="51"/>
        <v>1.6666666666666665</v>
      </c>
      <c r="K182" s="491">
        <f t="shared" si="52"/>
        <v>1.6666666666666665</v>
      </c>
      <c r="L182" s="155">
        <f t="shared" si="53"/>
        <v>0</v>
      </c>
      <c r="M182" s="338">
        <f t="shared" si="49"/>
        <v>0</v>
      </c>
      <c r="N182" s="159"/>
      <c r="O182" s="160"/>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G182" s="563"/>
      <c r="BH182" s="563"/>
      <c r="BI182" s="563"/>
      <c r="BJ182" s="563"/>
      <c r="BK182" s="563"/>
      <c r="BL182" s="563"/>
      <c r="BM182" s="563"/>
      <c r="BN182" s="563"/>
      <c r="BO182" s="563"/>
      <c r="BP182" s="563"/>
      <c r="BQ182" s="563"/>
      <c r="BR182" s="563"/>
      <c r="BS182" s="563"/>
      <c r="BT182" s="563"/>
      <c r="BU182" s="563"/>
      <c r="BV182" s="563"/>
      <c r="BW182" s="563"/>
      <c r="BX182" s="563"/>
      <c r="BY182" s="563"/>
      <c r="BZ182" s="563"/>
      <c r="CA182" s="563"/>
      <c r="CB182" s="563"/>
      <c r="CC182" s="563"/>
      <c r="CD182" s="563"/>
      <c r="CE182" s="563"/>
      <c r="CF182" s="563"/>
      <c r="CG182" s="563"/>
      <c r="CH182" s="563"/>
      <c r="CI182" s="563"/>
      <c r="CJ182" s="563"/>
      <c r="CK182" s="563"/>
      <c r="CL182" s="563"/>
      <c r="CM182" s="563"/>
      <c r="CN182" s="563"/>
      <c r="CO182" s="563"/>
      <c r="CP182" s="563"/>
      <c r="CQ182" s="563"/>
      <c r="CR182" s="563"/>
      <c r="CS182" s="563"/>
      <c r="CT182" s="563"/>
      <c r="CU182" s="563"/>
      <c r="CV182" s="563"/>
      <c r="CW182" s="563"/>
      <c r="CX182" s="563"/>
    </row>
    <row r="183" spans="1:102" ht="12.75">
      <c r="A183" s="513" t="str">
        <f t="shared" si="50"/>
        <v>Emergency Tray</v>
      </c>
      <c r="B183" s="452" t="str">
        <f>'Cost Inputs - Drug &amp; Supplies'!B71</f>
        <v>Solution administration set</v>
      </c>
      <c r="C183" s="488">
        <v>1</v>
      </c>
      <c r="D183" s="488">
        <v>0</v>
      </c>
      <c r="E183" s="493">
        <v>1</v>
      </c>
      <c r="F183" s="494">
        <v>1</v>
      </c>
      <c r="G183" s="494">
        <v>1</v>
      </c>
      <c r="H183" s="501">
        <f t="shared" si="47"/>
        <v>1</v>
      </c>
      <c r="I183" s="491">
        <f t="shared" si="48"/>
        <v>3.4153005464480874</v>
      </c>
      <c r="J183" s="491">
        <f t="shared" si="51"/>
        <v>3.4153005464480874</v>
      </c>
      <c r="K183" s="491">
        <f t="shared" si="52"/>
        <v>3.4153005464480874</v>
      </c>
      <c r="L183" s="155">
        <f t="shared" si="53"/>
        <v>0</v>
      </c>
      <c r="M183" s="338">
        <f t="shared" si="49"/>
        <v>0</v>
      </c>
      <c r="N183" s="159"/>
      <c r="O183" s="160"/>
      <c r="AL183" s="563"/>
      <c r="AM183" s="563"/>
      <c r="AN183" s="563"/>
      <c r="AO183" s="563"/>
      <c r="AP183" s="563"/>
      <c r="AQ183" s="563"/>
      <c r="AR183" s="563"/>
      <c r="AS183" s="563"/>
      <c r="AT183" s="563"/>
      <c r="AU183" s="563"/>
      <c r="AV183" s="563"/>
      <c r="AW183" s="563"/>
      <c r="AX183" s="563"/>
      <c r="AY183" s="563"/>
      <c r="AZ183" s="563"/>
      <c r="BA183" s="563"/>
      <c r="BB183" s="563"/>
      <c r="BC183" s="563"/>
      <c r="BD183" s="563"/>
      <c r="BE183" s="563"/>
      <c r="BF183" s="563"/>
      <c r="BG183" s="563"/>
      <c r="BH183" s="563"/>
      <c r="BI183" s="563"/>
      <c r="BJ183" s="563"/>
      <c r="BK183" s="563"/>
      <c r="BL183" s="563"/>
      <c r="BM183" s="563"/>
      <c r="BN183" s="563"/>
      <c r="BO183" s="563"/>
      <c r="BP183" s="563"/>
      <c r="BQ183" s="563"/>
      <c r="BR183" s="563"/>
      <c r="BS183" s="563"/>
      <c r="BT183" s="563"/>
      <c r="BU183" s="563"/>
      <c r="BV183" s="563"/>
      <c r="BW183" s="563"/>
      <c r="BX183" s="563"/>
      <c r="BY183" s="563"/>
      <c r="BZ183" s="563"/>
      <c r="CA183" s="563"/>
      <c r="CB183" s="563"/>
      <c r="CC183" s="563"/>
      <c r="CD183" s="563"/>
      <c r="CE183" s="563"/>
      <c r="CF183" s="563"/>
      <c r="CG183" s="563"/>
      <c r="CH183" s="563"/>
      <c r="CI183" s="563"/>
      <c r="CJ183" s="563"/>
      <c r="CK183" s="563"/>
      <c r="CL183" s="563"/>
      <c r="CM183" s="563"/>
      <c r="CN183" s="563"/>
      <c r="CO183" s="563"/>
      <c r="CP183" s="563"/>
      <c r="CQ183" s="563"/>
      <c r="CR183" s="563"/>
      <c r="CS183" s="563"/>
      <c r="CT183" s="563"/>
      <c r="CU183" s="563"/>
      <c r="CV183" s="563"/>
      <c r="CW183" s="563"/>
      <c r="CX183" s="563"/>
    </row>
    <row r="184" spans="1:102" ht="12.75">
      <c r="A184" s="513" t="str">
        <f t="shared" si="50"/>
        <v>Emergency Tray</v>
      </c>
      <c r="B184" s="452" t="str">
        <f>'Cost Inputs - Drug &amp; Supplies'!B72</f>
        <v>Sodium Chloride 0.9% 1L</v>
      </c>
      <c r="C184" s="488">
        <v>1</v>
      </c>
      <c r="D184" s="488">
        <v>0</v>
      </c>
      <c r="E184" s="493">
        <v>1</v>
      </c>
      <c r="F184" s="494">
        <v>1</v>
      </c>
      <c r="G184" s="494">
        <v>1</v>
      </c>
      <c r="H184" s="501">
        <f t="shared" si="47"/>
        <v>1</v>
      </c>
      <c r="I184" s="491">
        <f t="shared" si="48"/>
        <v>1.3114754098360655</v>
      </c>
      <c r="J184" s="491">
        <f t="shared" si="51"/>
        <v>1.3114754098360655</v>
      </c>
      <c r="K184" s="491">
        <f t="shared" si="52"/>
        <v>1.3114754098360655</v>
      </c>
      <c r="L184" s="155">
        <f t="shared" si="53"/>
        <v>0</v>
      </c>
      <c r="M184" s="338">
        <f t="shared" si="49"/>
        <v>0</v>
      </c>
      <c r="N184" s="159"/>
      <c r="O184" s="160"/>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G184" s="563"/>
      <c r="BH184" s="563"/>
      <c r="BI184" s="563"/>
      <c r="BJ184" s="563"/>
      <c r="BK184" s="563"/>
      <c r="BL184" s="563"/>
      <c r="BM184" s="563"/>
      <c r="BN184" s="563"/>
      <c r="BO184" s="563"/>
      <c r="BP184" s="563"/>
      <c r="BQ184" s="563"/>
      <c r="BR184" s="563"/>
      <c r="BS184" s="563"/>
      <c r="BT184" s="563"/>
      <c r="BU184" s="563"/>
      <c r="BV184" s="563"/>
      <c r="BW184" s="563"/>
      <c r="BX184" s="563"/>
      <c r="BY184" s="563"/>
      <c r="BZ184" s="563"/>
      <c r="CA184" s="563"/>
      <c r="CB184" s="563"/>
      <c r="CC184" s="563"/>
      <c r="CD184" s="563"/>
      <c r="CE184" s="563"/>
      <c r="CF184" s="563"/>
      <c r="CG184" s="563"/>
      <c r="CH184" s="563"/>
      <c r="CI184" s="563"/>
      <c r="CJ184" s="563"/>
      <c r="CK184" s="563"/>
      <c r="CL184" s="563"/>
      <c r="CM184" s="563"/>
      <c r="CN184" s="563"/>
      <c r="CO184" s="563"/>
      <c r="CP184" s="563"/>
      <c r="CQ184" s="563"/>
      <c r="CR184" s="563"/>
      <c r="CS184" s="563"/>
      <c r="CT184" s="563"/>
      <c r="CU184" s="563"/>
      <c r="CV184" s="563"/>
      <c r="CW184" s="563"/>
      <c r="CX184" s="563"/>
    </row>
    <row r="185" spans="1:102" s="235" customFormat="1" ht="12.75">
      <c r="A185" s="513" t="str">
        <f t="shared" si="50"/>
        <v>Emergency Tray</v>
      </c>
      <c r="B185" s="452" t="str">
        <f>'Cost Inputs - Drug &amp; Supplies'!B73</f>
        <v>Velcro tourniquets</v>
      </c>
      <c r="C185" s="488">
        <v>1</v>
      </c>
      <c r="D185" s="488">
        <v>0</v>
      </c>
      <c r="E185" s="493">
        <v>1</v>
      </c>
      <c r="F185" s="494">
        <v>1</v>
      </c>
      <c r="G185" s="494">
        <v>1</v>
      </c>
      <c r="H185" s="501">
        <f t="shared" si="47"/>
        <v>1</v>
      </c>
      <c r="I185" s="491">
        <f t="shared" si="48"/>
        <v>1.4549180327868851</v>
      </c>
      <c r="J185" s="491">
        <f t="shared" si="51"/>
        <v>1.4549180327868851</v>
      </c>
      <c r="K185" s="491">
        <f t="shared" si="52"/>
        <v>1.4549180327868851</v>
      </c>
      <c r="L185" s="146">
        <f t="shared" si="53"/>
        <v>0</v>
      </c>
      <c r="M185" s="338">
        <f t="shared" si="49"/>
        <v>0</v>
      </c>
      <c r="N185" s="165"/>
      <c r="O185" s="170"/>
      <c r="P185" s="236"/>
      <c r="Q185" s="237"/>
      <c r="R185" s="237"/>
      <c r="AL185" s="563"/>
      <c r="AM185" s="563"/>
      <c r="AN185" s="563"/>
      <c r="AO185" s="563"/>
      <c r="AP185" s="563"/>
      <c r="AQ185" s="563"/>
      <c r="AR185" s="563"/>
      <c r="AS185" s="563"/>
      <c r="AT185" s="563"/>
      <c r="AU185" s="563"/>
      <c r="AV185" s="563"/>
      <c r="AW185" s="563"/>
      <c r="AX185" s="563"/>
      <c r="AY185" s="563"/>
      <c r="AZ185" s="563"/>
      <c r="BA185" s="563"/>
      <c r="BB185" s="563"/>
      <c r="BC185" s="563"/>
      <c r="BD185" s="563"/>
      <c r="BE185" s="563"/>
      <c r="BF185" s="563"/>
      <c r="BG185" s="563"/>
      <c r="BH185" s="563"/>
      <c r="BI185" s="563"/>
      <c r="BJ185" s="563"/>
      <c r="BK185" s="563"/>
      <c r="BL185" s="563"/>
      <c r="BM185" s="563"/>
      <c r="BN185" s="563"/>
      <c r="BO185" s="563"/>
      <c r="BP185" s="563"/>
      <c r="BQ185" s="563"/>
      <c r="BR185" s="563"/>
      <c r="BS185" s="563"/>
      <c r="BT185" s="563"/>
      <c r="BU185" s="563"/>
      <c r="BV185" s="563"/>
      <c r="BW185" s="563"/>
      <c r="BX185" s="563"/>
      <c r="BY185" s="563"/>
      <c r="BZ185" s="563"/>
      <c r="CA185" s="563"/>
      <c r="CB185" s="563"/>
      <c r="CC185" s="563"/>
      <c r="CD185" s="563"/>
      <c r="CE185" s="563"/>
      <c r="CF185" s="563"/>
      <c r="CG185" s="563"/>
      <c r="CH185" s="563"/>
      <c r="CI185" s="563"/>
      <c r="CJ185" s="563"/>
      <c r="CK185" s="563"/>
      <c r="CL185" s="563"/>
      <c r="CM185" s="563"/>
      <c r="CN185" s="563"/>
      <c r="CO185" s="563"/>
      <c r="CP185" s="563"/>
      <c r="CQ185" s="563"/>
      <c r="CR185" s="563"/>
      <c r="CS185" s="563"/>
      <c r="CT185" s="563"/>
      <c r="CU185" s="563"/>
      <c r="CV185" s="563"/>
      <c r="CW185" s="563"/>
      <c r="CX185" s="563"/>
    </row>
    <row r="186" spans="1:102" ht="12.75">
      <c r="A186" s="243"/>
      <c r="B186" s="268"/>
      <c r="C186" s="241"/>
      <c r="D186" s="241"/>
      <c r="E186" s="244"/>
      <c r="F186" s="242"/>
      <c r="G186" s="242"/>
      <c r="H186" s="245"/>
      <c r="I186" s="155"/>
      <c r="J186" s="246"/>
      <c r="K186" s="246"/>
      <c r="L186" s="246"/>
      <c r="M186" s="246"/>
      <c r="N186" s="247"/>
      <c r="O186" s="248"/>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G186" s="563"/>
      <c r="BH186" s="563"/>
      <c r="BI186" s="563"/>
      <c r="BJ186" s="563"/>
      <c r="BK186" s="563"/>
      <c r="BL186" s="563"/>
      <c r="BM186" s="563"/>
      <c r="BN186" s="563"/>
      <c r="BO186" s="563"/>
      <c r="BP186" s="563"/>
      <c r="BQ186" s="563"/>
      <c r="BR186" s="563"/>
      <c r="BS186" s="563"/>
      <c r="BT186" s="563"/>
      <c r="BU186" s="563"/>
      <c r="BV186" s="563"/>
      <c r="BW186" s="563"/>
      <c r="BX186" s="563"/>
      <c r="BY186" s="563"/>
      <c r="BZ186" s="563"/>
      <c r="CA186" s="563"/>
      <c r="CB186" s="563"/>
      <c r="CC186" s="563"/>
      <c r="CD186" s="563"/>
      <c r="CE186" s="563"/>
      <c r="CF186" s="563"/>
      <c r="CG186" s="563"/>
      <c r="CH186" s="563"/>
      <c r="CI186" s="563"/>
      <c r="CJ186" s="563"/>
      <c r="CK186" s="563"/>
      <c r="CL186" s="563"/>
      <c r="CM186" s="563"/>
      <c r="CN186" s="563"/>
      <c r="CO186" s="563"/>
      <c r="CP186" s="563"/>
      <c r="CQ186" s="563"/>
      <c r="CR186" s="563"/>
      <c r="CS186" s="563"/>
      <c r="CT186" s="563"/>
      <c r="CU186" s="563"/>
      <c r="CV186" s="563"/>
      <c r="CW186" s="563"/>
      <c r="CX186" s="563"/>
    </row>
    <row r="187" spans="1:102" ht="12.75">
      <c r="A187" s="243"/>
      <c r="B187" s="268"/>
      <c r="C187" s="166"/>
      <c r="D187" s="166"/>
      <c r="E187" s="249"/>
      <c r="F187" s="167"/>
      <c r="G187" s="167"/>
      <c r="H187" s="250"/>
      <c r="I187" s="155"/>
      <c r="J187" s="252"/>
      <c r="K187" s="252"/>
      <c r="L187" s="252"/>
      <c r="M187" s="253"/>
      <c r="N187" s="252"/>
      <c r="O187" s="254"/>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G187" s="563"/>
      <c r="BH187" s="563"/>
      <c r="BI187" s="563"/>
      <c r="BJ187" s="563"/>
      <c r="BK187" s="563"/>
      <c r="BL187" s="563"/>
      <c r="BM187" s="563"/>
      <c r="BN187" s="563"/>
      <c r="BO187" s="563"/>
      <c r="BP187" s="563"/>
      <c r="BQ187" s="563"/>
      <c r="BR187" s="563"/>
      <c r="BS187" s="563"/>
      <c r="BT187" s="563"/>
      <c r="BU187" s="563"/>
      <c r="BV187" s="563"/>
      <c r="BW187" s="563"/>
      <c r="BX187" s="563"/>
      <c r="BY187" s="563"/>
      <c r="BZ187" s="563"/>
      <c r="CA187" s="563"/>
      <c r="CB187" s="563"/>
      <c r="CC187" s="563"/>
      <c r="CD187" s="563"/>
      <c r="CE187" s="563"/>
      <c r="CF187" s="563"/>
      <c r="CG187" s="563"/>
      <c r="CH187" s="563"/>
      <c r="CI187" s="563"/>
      <c r="CJ187" s="563"/>
      <c r="CK187" s="563"/>
      <c r="CL187" s="563"/>
      <c r="CM187" s="563"/>
      <c r="CN187" s="563"/>
      <c r="CO187" s="563"/>
      <c r="CP187" s="563"/>
      <c r="CQ187" s="563"/>
      <c r="CR187" s="563"/>
      <c r="CS187" s="563"/>
      <c r="CT187" s="563"/>
      <c r="CU187" s="563"/>
      <c r="CV187" s="563"/>
      <c r="CW187" s="563"/>
      <c r="CX187" s="563"/>
    </row>
    <row r="188" spans="1:102" s="315" customFormat="1" ht="25.5">
      <c r="A188" s="271" t="s">
        <v>215</v>
      </c>
      <c r="B188" s="271"/>
      <c r="C188" s="271"/>
      <c r="D188" s="271"/>
      <c r="E188" s="271"/>
      <c r="F188" s="271"/>
      <c r="G188" s="271"/>
      <c r="Q188" s="316" t="s">
        <v>57</v>
      </c>
      <c r="R188" s="317" t="s">
        <v>52</v>
      </c>
      <c r="S188" s="318" t="e">
        <f>#REF!</f>
        <v>#REF!</v>
      </c>
      <c r="T188" s="319">
        <v>1</v>
      </c>
      <c r="U188" s="319">
        <v>0</v>
      </c>
      <c r="V188" s="319">
        <v>0</v>
      </c>
      <c r="X188" s="320" t="e">
        <f>#REF!</f>
        <v>#REF!</v>
      </c>
      <c r="Y188" s="321">
        <v>1</v>
      </c>
      <c r="Z188" s="321">
        <v>1</v>
      </c>
      <c r="AA188" s="322" t="e">
        <f>X188*Y188*Z188</f>
        <v>#REF!</v>
      </c>
      <c r="AB188" s="323" t="e">
        <f>VLOOKUP(S188,Personnel_Cost,7)</f>
        <v>#REF!</v>
      </c>
      <c r="AC188" s="323" t="e">
        <f>AA188*AB188</f>
        <v>#REF!</v>
      </c>
      <c r="AD188" s="323" t="e">
        <f>AC188*T188</f>
        <v>#REF!</v>
      </c>
      <c r="AE188" s="323" t="e">
        <f>AC188*U188</f>
        <v>#REF!</v>
      </c>
      <c r="AF188" s="323" t="e">
        <f>AC188*V188</f>
        <v>#REF!</v>
      </c>
      <c r="AG188" s="323">
        <v>0</v>
      </c>
      <c r="AH188" s="323">
        <v>0</v>
      </c>
      <c r="AI188" s="323">
        <v>0</v>
      </c>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c r="CT188" s="564"/>
      <c r="CU188" s="564"/>
      <c r="CV188" s="564"/>
      <c r="CW188" s="564"/>
      <c r="CX188" s="564"/>
    </row>
    <row r="189" spans="1:102" ht="12.75">
      <c r="A189" s="287" t="str">
        <f>A$7</f>
        <v>CONSUMABLES</v>
      </c>
      <c r="B189" s="342"/>
      <c r="C189" s="343">
        <f>SUM(K9:K10)+SUM(K12:K44)+SUM(K80:K90)+SUM(K136:K139)</f>
        <v>13.346136156648452</v>
      </c>
      <c r="D189" s="166"/>
      <c r="E189" s="249"/>
      <c r="F189" s="167"/>
      <c r="G189" s="167"/>
      <c r="H189" s="250"/>
      <c r="I189" s="155"/>
      <c r="J189" s="252"/>
      <c r="K189" s="252"/>
      <c r="L189" s="252"/>
      <c r="M189" s="253"/>
      <c r="N189" s="252"/>
      <c r="O189" s="254"/>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3"/>
      <c r="BG189" s="563"/>
      <c r="BH189" s="563"/>
      <c r="BI189" s="563"/>
      <c r="BJ189" s="563"/>
      <c r="BK189" s="563"/>
      <c r="BL189" s="563"/>
      <c r="BM189" s="563"/>
      <c r="BN189" s="563"/>
      <c r="BO189" s="563"/>
      <c r="BP189" s="563"/>
      <c r="BQ189" s="563"/>
      <c r="BR189" s="563"/>
      <c r="BS189" s="563"/>
      <c r="BT189" s="563"/>
      <c r="BU189" s="563"/>
      <c r="BV189" s="563"/>
      <c r="BW189" s="563"/>
      <c r="BX189" s="563"/>
      <c r="BY189" s="563"/>
      <c r="BZ189" s="563"/>
      <c r="CA189" s="563"/>
      <c r="CB189" s="563"/>
      <c r="CC189" s="563"/>
      <c r="CD189" s="563"/>
      <c r="CE189" s="563"/>
      <c r="CF189" s="563"/>
      <c r="CG189" s="563"/>
      <c r="CH189" s="563"/>
      <c r="CI189" s="563"/>
      <c r="CJ189" s="563"/>
      <c r="CK189" s="563"/>
      <c r="CL189" s="563"/>
      <c r="CM189" s="563"/>
      <c r="CN189" s="563"/>
      <c r="CO189" s="563"/>
      <c r="CP189" s="563"/>
      <c r="CQ189" s="563"/>
      <c r="CR189" s="563"/>
      <c r="CS189" s="563"/>
      <c r="CT189" s="563"/>
      <c r="CU189" s="563"/>
      <c r="CV189" s="563"/>
      <c r="CW189" s="563"/>
      <c r="CX189" s="563"/>
    </row>
    <row r="190" spans="1:102" ht="12.75">
      <c r="A190" s="287" t="str">
        <f>A$140</f>
        <v>NON-CONSUMABLE SUPPLIES</v>
      </c>
      <c r="B190" s="342"/>
      <c r="C190" s="343">
        <f>(SUM(K142)+SUM(K144:K150)+SUM(K152)+SUM(K165)+C191+C192)/500</f>
        <v>0.22532950819672135</v>
      </c>
      <c r="D190" s="166"/>
      <c r="E190" s="249"/>
      <c r="F190" s="167"/>
      <c r="G190" s="167"/>
      <c r="H190" s="250"/>
      <c r="I190" s="155"/>
      <c r="J190" s="252"/>
      <c r="K190" s="252"/>
      <c r="L190" s="252"/>
      <c r="M190" s="253"/>
      <c r="N190" s="252"/>
      <c r="O190" s="254"/>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3"/>
      <c r="BG190" s="563"/>
      <c r="BH190" s="563"/>
      <c r="BI190" s="563"/>
      <c r="BJ190" s="563"/>
      <c r="BK190" s="563"/>
      <c r="BL190" s="563"/>
      <c r="BM190" s="563"/>
      <c r="BN190" s="563"/>
      <c r="BO190" s="563"/>
      <c r="BP190" s="563"/>
      <c r="BQ190" s="563"/>
      <c r="BR190" s="563"/>
      <c r="BS190" s="563"/>
      <c r="BT190" s="563"/>
      <c r="BU190" s="563"/>
      <c r="BV190" s="563"/>
      <c r="BW190" s="563"/>
      <c r="BX190" s="563"/>
      <c r="BY190" s="563"/>
      <c r="BZ190" s="563"/>
      <c r="CA190" s="563"/>
      <c r="CB190" s="563"/>
      <c r="CC190" s="563"/>
      <c r="CD190" s="563"/>
      <c r="CE190" s="563"/>
      <c r="CF190" s="563"/>
      <c r="CG190" s="563"/>
      <c r="CH190" s="563"/>
      <c r="CI190" s="563"/>
      <c r="CJ190" s="563"/>
      <c r="CK190" s="563"/>
      <c r="CL190" s="563"/>
      <c r="CM190" s="563"/>
      <c r="CN190" s="563"/>
      <c r="CO190" s="563"/>
      <c r="CP190" s="563"/>
      <c r="CQ190" s="563"/>
      <c r="CR190" s="563"/>
      <c r="CS190" s="563"/>
      <c r="CT190" s="563"/>
      <c r="CU190" s="563"/>
      <c r="CV190" s="563"/>
      <c r="CW190" s="563"/>
      <c r="CX190" s="563"/>
    </row>
    <row r="191" spans="1:102" ht="12.75" customHeight="1">
      <c r="A191" s="344" t="str">
        <f>A$166</f>
        <v>Circumcision Surgical Tray</v>
      </c>
      <c r="B191" s="342"/>
      <c r="C191" s="343">
        <f>SUM(K167:K176)</f>
        <v>30.286885245901637</v>
      </c>
      <c r="D191" s="166"/>
      <c r="E191" s="249"/>
      <c r="F191" s="167"/>
      <c r="G191" s="167"/>
      <c r="H191" s="250"/>
      <c r="I191" s="155"/>
      <c r="J191" s="252"/>
      <c r="K191" s="252"/>
      <c r="L191" s="252"/>
      <c r="M191" s="253"/>
      <c r="N191" s="252"/>
      <c r="O191" s="254"/>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3"/>
      <c r="BG191" s="563"/>
      <c r="BH191" s="563"/>
      <c r="BI191" s="563"/>
      <c r="BJ191" s="563"/>
      <c r="BK191" s="563"/>
      <c r="BL191" s="563"/>
      <c r="BM191" s="563"/>
      <c r="BN191" s="563"/>
      <c r="BO191" s="563"/>
      <c r="BP191" s="563"/>
      <c r="BQ191" s="563"/>
      <c r="BR191" s="563"/>
      <c r="BS191" s="563"/>
      <c r="BT191" s="563"/>
      <c r="BU191" s="563"/>
      <c r="BV191" s="563"/>
      <c r="BW191" s="563"/>
      <c r="BX191" s="563"/>
      <c r="BY191" s="563"/>
      <c r="BZ191" s="563"/>
      <c r="CA191" s="563"/>
      <c r="CB191" s="563"/>
      <c r="CC191" s="563"/>
      <c r="CD191" s="563"/>
      <c r="CE191" s="563"/>
      <c r="CF191" s="563"/>
      <c r="CG191" s="563"/>
      <c r="CH191" s="563"/>
      <c r="CI191" s="563"/>
      <c r="CJ191" s="563"/>
      <c r="CK191" s="563"/>
      <c r="CL191" s="563"/>
      <c r="CM191" s="563"/>
      <c r="CN191" s="563"/>
      <c r="CO191" s="563"/>
      <c r="CP191" s="563"/>
      <c r="CQ191" s="563"/>
      <c r="CR191" s="563"/>
      <c r="CS191" s="563"/>
      <c r="CT191" s="563"/>
      <c r="CU191" s="563"/>
      <c r="CV191" s="563"/>
      <c r="CW191" s="563"/>
      <c r="CX191" s="563"/>
    </row>
    <row r="192" spans="1:102" ht="12.75">
      <c r="A192" s="344" t="str">
        <f>A$177</f>
        <v>Emergency Tray</v>
      </c>
      <c r="B192" s="342"/>
      <c r="C192" s="343">
        <f>SUM(K178:K185)</f>
        <v>12.367486338797814</v>
      </c>
      <c r="D192" s="166"/>
      <c r="E192" s="249"/>
      <c r="F192" s="167"/>
      <c r="G192" s="167"/>
      <c r="H192" s="250"/>
      <c r="I192" s="155"/>
      <c r="J192" s="252"/>
      <c r="K192" s="252"/>
      <c r="L192" s="252"/>
      <c r="M192" s="253"/>
      <c r="N192" s="252"/>
      <c r="O192" s="254"/>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3"/>
      <c r="BG192" s="563"/>
      <c r="BH192" s="563"/>
      <c r="BI192" s="563"/>
      <c r="BJ192" s="563"/>
      <c r="BK192" s="563"/>
      <c r="BL192" s="563"/>
      <c r="BM192" s="563"/>
      <c r="BN192" s="563"/>
      <c r="BO192" s="563"/>
      <c r="BP192" s="563"/>
      <c r="BQ192" s="563"/>
      <c r="BR192" s="563"/>
      <c r="BS192" s="563"/>
      <c r="BT192" s="563"/>
      <c r="BU192" s="563"/>
      <c r="BV192" s="563"/>
      <c r="BW192" s="563"/>
      <c r="BX192" s="563"/>
      <c r="BY192" s="563"/>
      <c r="BZ192" s="563"/>
      <c r="CA192" s="563"/>
      <c r="CB192" s="563"/>
      <c r="CC192" s="563"/>
      <c r="CD192" s="563"/>
      <c r="CE192" s="563"/>
      <c r="CF192" s="563"/>
      <c r="CG192" s="563"/>
      <c r="CH192" s="563"/>
      <c r="CI192" s="563"/>
      <c r="CJ192" s="563"/>
      <c r="CK192" s="563"/>
      <c r="CL192" s="563"/>
      <c r="CM192" s="563"/>
      <c r="CN192" s="563"/>
      <c r="CO192" s="563"/>
      <c r="CP192" s="563"/>
      <c r="CQ192" s="563"/>
      <c r="CR192" s="563"/>
      <c r="CS192" s="563"/>
      <c r="CT192" s="563"/>
      <c r="CU192" s="563"/>
      <c r="CV192" s="563"/>
      <c r="CW192" s="563"/>
      <c r="CX192" s="563"/>
    </row>
    <row r="193" spans="1:102" ht="12.75">
      <c r="A193" s="287" t="s">
        <v>162</v>
      </c>
      <c r="B193" s="342"/>
      <c r="C193" s="343">
        <f>SUM(C189:C190)</f>
        <v>13.571465664845173</v>
      </c>
      <c r="D193" s="166"/>
      <c r="E193" s="249"/>
      <c r="F193" s="167"/>
      <c r="G193" s="167"/>
      <c r="H193" s="250"/>
      <c r="I193" s="155"/>
      <c r="J193" s="252"/>
      <c r="K193" s="252"/>
      <c r="L193" s="252"/>
      <c r="M193" s="253"/>
      <c r="N193" s="252"/>
      <c r="O193" s="254"/>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3"/>
      <c r="BG193" s="563"/>
      <c r="BH193" s="563"/>
      <c r="BI193" s="563"/>
      <c r="BJ193" s="563"/>
      <c r="BK193" s="563"/>
      <c r="BL193" s="563"/>
      <c r="BM193" s="563"/>
      <c r="BN193" s="563"/>
      <c r="BO193" s="563"/>
      <c r="BP193" s="563"/>
      <c r="BQ193" s="563"/>
      <c r="BR193" s="563"/>
      <c r="BS193" s="563"/>
      <c r="BT193" s="563"/>
      <c r="BU193" s="563"/>
      <c r="BV193" s="563"/>
      <c r="BW193" s="563"/>
      <c r="BX193" s="563"/>
      <c r="BY193" s="563"/>
      <c r="BZ193" s="563"/>
      <c r="CA193" s="563"/>
      <c r="CB193" s="563"/>
      <c r="CC193" s="563"/>
      <c r="CD193" s="563"/>
      <c r="CE193" s="563"/>
      <c r="CF193" s="563"/>
      <c r="CG193" s="563"/>
      <c r="CH193" s="563"/>
      <c r="CI193" s="563"/>
      <c r="CJ193" s="563"/>
      <c r="CK193" s="563"/>
      <c r="CL193" s="563"/>
      <c r="CM193" s="563"/>
      <c r="CN193" s="563"/>
      <c r="CO193" s="563"/>
      <c r="CP193" s="563"/>
      <c r="CQ193" s="563"/>
      <c r="CR193" s="563"/>
      <c r="CS193" s="563"/>
      <c r="CT193" s="563"/>
      <c r="CU193" s="563"/>
      <c r="CV193" s="563"/>
      <c r="CW193" s="563"/>
      <c r="CX193" s="563"/>
    </row>
    <row r="194" spans="1:102" ht="12.75">
      <c r="A194" s="287"/>
      <c r="B194" s="342"/>
      <c r="C194" s="345"/>
      <c r="D194" s="166"/>
      <c r="E194" s="249"/>
      <c r="F194" s="167"/>
      <c r="G194" s="167"/>
      <c r="H194" s="250"/>
      <c r="I194" s="155"/>
      <c r="J194" s="252"/>
      <c r="K194" s="252"/>
      <c r="L194" s="252"/>
      <c r="M194" s="253"/>
      <c r="N194" s="252"/>
      <c r="O194" s="254"/>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3"/>
      <c r="BG194" s="563"/>
      <c r="BH194" s="563"/>
      <c r="BI194" s="563"/>
      <c r="BJ194" s="563"/>
      <c r="BK194" s="563"/>
      <c r="BL194" s="563"/>
      <c r="BM194" s="563"/>
      <c r="BN194" s="563"/>
      <c r="BO194" s="563"/>
      <c r="BP194" s="563"/>
      <c r="BQ194" s="563"/>
      <c r="BR194" s="563"/>
      <c r="BS194" s="563"/>
      <c r="BT194" s="563"/>
      <c r="BU194" s="563"/>
      <c r="BV194" s="563"/>
      <c r="BW194" s="563"/>
      <c r="BX194" s="563"/>
      <c r="BY194" s="563"/>
      <c r="BZ194" s="563"/>
      <c r="CA194" s="563"/>
      <c r="CB194" s="563"/>
      <c r="CC194" s="563"/>
      <c r="CD194" s="563"/>
      <c r="CE194" s="563"/>
      <c r="CF194" s="563"/>
      <c r="CG194" s="563"/>
      <c r="CH194" s="563"/>
      <c r="CI194" s="563"/>
      <c r="CJ194" s="563"/>
      <c r="CK194" s="563"/>
      <c r="CL194" s="563"/>
      <c r="CM194" s="563"/>
      <c r="CN194" s="563"/>
      <c r="CO194" s="563"/>
      <c r="CP194" s="563"/>
      <c r="CQ194" s="563"/>
      <c r="CR194" s="563"/>
      <c r="CS194" s="563"/>
      <c r="CT194" s="563"/>
      <c r="CU194" s="563"/>
      <c r="CV194" s="563"/>
      <c r="CW194" s="563"/>
      <c r="CX194" s="563"/>
    </row>
    <row r="195" spans="1:102" ht="25.5">
      <c r="A195" s="271" t="s">
        <v>301</v>
      </c>
      <c r="B195" s="271"/>
      <c r="C195" s="271"/>
      <c r="D195" s="166"/>
      <c r="E195" s="271"/>
      <c r="F195" s="271"/>
      <c r="G195" s="271"/>
      <c r="H195" s="315"/>
      <c r="I195" s="315"/>
      <c r="J195" s="315"/>
      <c r="K195" s="315"/>
      <c r="L195" s="315"/>
      <c r="M195" s="315"/>
      <c r="N195" s="315"/>
      <c r="O195" s="315"/>
      <c r="P195" s="315"/>
      <c r="Q195" s="316" t="s">
        <v>57</v>
      </c>
      <c r="R195" s="317" t="s">
        <v>52</v>
      </c>
      <c r="S195" s="318" t="e">
        <f>#REF!</f>
        <v>#REF!</v>
      </c>
      <c r="T195" s="319">
        <v>1</v>
      </c>
      <c r="U195" s="319">
        <v>0</v>
      </c>
      <c r="V195" s="319">
        <v>0</v>
      </c>
      <c r="W195" s="315"/>
      <c r="X195" s="320" t="e">
        <f>#REF!</f>
        <v>#REF!</v>
      </c>
      <c r="Y195" s="321">
        <v>1</v>
      </c>
      <c r="Z195" s="321">
        <v>1</v>
      </c>
      <c r="AA195" s="322" t="e">
        <f>X195*Y195*Z195</f>
        <v>#REF!</v>
      </c>
      <c r="AB195" s="323" t="e">
        <f>VLOOKUP(S195,Personnel_Cost,7)</f>
        <v>#REF!</v>
      </c>
      <c r="AC195" s="323" t="e">
        <f>AA195*AB195</f>
        <v>#REF!</v>
      </c>
      <c r="AD195" s="323" t="e">
        <f>AC195*T195</f>
        <v>#REF!</v>
      </c>
      <c r="AE195" s="323" t="e">
        <f>AC195*U195</f>
        <v>#REF!</v>
      </c>
      <c r="AF195" s="323" t="e">
        <f>AC195*V195</f>
        <v>#REF!</v>
      </c>
      <c r="AG195" s="323">
        <v>0</v>
      </c>
      <c r="AH195" s="323">
        <v>0</v>
      </c>
      <c r="AI195" s="323">
        <v>0</v>
      </c>
      <c r="AJ195" s="315"/>
      <c r="AK195" s="315"/>
      <c r="AL195" s="564"/>
      <c r="AM195" s="564"/>
      <c r="AN195" s="564"/>
      <c r="AO195" s="564"/>
      <c r="AP195" s="564"/>
      <c r="AQ195" s="564"/>
      <c r="AR195" s="564"/>
      <c r="AS195" s="564"/>
      <c r="AT195" s="564"/>
      <c r="AU195" s="564"/>
      <c r="AV195" s="564"/>
      <c r="AW195" s="564"/>
      <c r="AX195" s="564"/>
      <c r="AY195" s="564"/>
      <c r="AZ195" s="564"/>
      <c r="BA195" s="564"/>
      <c r="BB195" s="564"/>
      <c r="BC195" s="563"/>
      <c r="BD195" s="563"/>
      <c r="BE195" s="563"/>
      <c r="BF195" s="563"/>
      <c r="BG195" s="563"/>
      <c r="BH195" s="563"/>
      <c r="BI195" s="563"/>
      <c r="BJ195" s="563"/>
      <c r="BK195" s="563"/>
      <c r="BL195" s="563"/>
      <c r="BM195" s="563"/>
      <c r="BN195" s="563"/>
      <c r="BO195" s="563"/>
      <c r="BP195" s="563"/>
      <c r="BQ195" s="563"/>
      <c r="BR195" s="563"/>
      <c r="BS195" s="563"/>
      <c r="BT195" s="563"/>
      <c r="BU195" s="563"/>
      <c r="BV195" s="563"/>
      <c r="BW195" s="563"/>
      <c r="BX195" s="563"/>
      <c r="BY195" s="563"/>
      <c r="BZ195" s="563"/>
      <c r="CA195" s="563"/>
      <c r="CB195" s="563"/>
      <c r="CC195" s="563"/>
      <c r="CD195" s="563"/>
      <c r="CE195" s="563"/>
      <c r="CF195" s="563"/>
      <c r="CG195" s="563"/>
      <c r="CH195" s="563"/>
      <c r="CI195" s="563"/>
      <c r="CJ195" s="563"/>
      <c r="CK195" s="563"/>
      <c r="CL195" s="563"/>
      <c r="CM195" s="563"/>
      <c r="CN195" s="563"/>
      <c r="CO195" s="563"/>
      <c r="CP195" s="563"/>
      <c r="CQ195" s="563"/>
      <c r="CR195" s="563"/>
      <c r="CS195" s="563"/>
      <c r="CT195" s="563"/>
      <c r="CU195" s="563"/>
      <c r="CV195" s="563"/>
      <c r="CW195" s="563"/>
      <c r="CX195" s="563"/>
    </row>
    <row r="196" spans="1:102" ht="12.75">
      <c r="A196" s="287" t="str">
        <f>A$7</f>
        <v>CONSUMABLES</v>
      </c>
      <c r="B196" s="342"/>
      <c r="C196" s="343">
        <f>SUM(K46:K78)+SUM(K80:K90)+SUM(K136:K139)</f>
        <v>10.488592896174863</v>
      </c>
      <c r="D196" s="166"/>
      <c r="E196" s="249"/>
      <c r="F196" s="167"/>
      <c r="G196" s="167"/>
      <c r="H196" s="250"/>
      <c r="I196" s="155"/>
      <c r="J196" s="252"/>
      <c r="K196" s="252"/>
      <c r="L196" s="252"/>
      <c r="M196" s="253"/>
      <c r="N196" s="252"/>
      <c r="O196" s="254"/>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3"/>
      <c r="BG196" s="563"/>
      <c r="BH196" s="563"/>
      <c r="BI196" s="563"/>
      <c r="BJ196" s="563"/>
      <c r="BK196" s="563"/>
      <c r="BL196" s="563"/>
      <c r="BM196" s="563"/>
      <c r="BN196" s="563"/>
      <c r="BO196" s="563"/>
      <c r="BP196" s="563"/>
      <c r="BQ196" s="563"/>
      <c r="BR196" s="563"/>
      <c r="BS196" s="563"/>
      <c r="BT196" s="563"/>
      <c r="BU196" s="563"/>
      <c r="BV196" s="563"/>
      <c r="BW196" s="563"/>
      <c r="BX196" s="563"/>
      <c r="BY196" s="563"/>
      <c r="BZ196" s="563"/>
      <c r="CA196" s="563"/>
      <c r="CB196" s="563"/>
      <c r="CC196" s="563"/>
      <c r="CD196" s="563"/>
      <c r="CE196" s="563"/>
      <c r="CF196" s="563"/>
      <c r="CG196" s="563"/>
      <c r="CH196" s="563"/>
      <c r="CI196" s="563"/>
      <c r="CJ196" s="563"/>
      <c r="CK196" s="563"/>
      <c r="CL196" s="563"/>
      <c r="CM196" s="563"/>
      <c r="CN196" s="563"/>
      <c r="CO196" s="563"/>
      <c r="CP196" s="563"/>
      <c r="CQ196" s="563"/>
      <c r="CR196" s="563"/>
      <c r="CS196" s="563"/>
      <c r="CT196" s="563"/>
      <c r="CU196" s="563"/>
      <c r="CV196" s="563"/>
      <c r="CW196" s="563"/>
      <c r="CX196" s="563"/>
    </row>
    <row r="197" spans="1:102" ht="12.75">
      <c r="A197" s="287" t="str">
        <f>A$140</f>
        <v>NON-CONSUMABLE SUPPLIES</v>
      </c>
      <c r="B197" s="342"/>
      <c r="C197" s="343">
        <f>(SUM(K144:K150)+SUM(K152)+C198+C199)/500</f>
        <v>0.22532950819672135</v>
      </c>
      <c r="D197" s="166"/>
      <c r="E197" s="249"/>
      <c r="F197" s="167"/>
      <c r="G197" s="167"/>
      <c r="H197" s="250"/>
      <c r="I197" s="155"/>
      <c r="J197" s="252"/>
      <c r="K197" s="252"/>
      <c r="L197" s="252"/>
      <c r="M197" s="253"/>
      <c r="N197" s="252"/>
      <c r="O197" s="254"/>
      <c r="AL197" s="563"/>
      <c r="AM197" s="563"/>
      <c r="AN197" s="563"/>
      <c r="AO197" s="563"/>
      <c r="AP197" s="563"/>
      <c r="AQ197" s="563"/>
      <c r="AR197" s="563"/>
      <c r="AS197" s="563"/>
      <c r="AT197" s="563"/>
      <c r="AU197" s="563"/>
      <c r="AV197" s="563"/>
      <c r="AW197" s="563"/>
      <c r="AX197" s="563"/>
      <c r="AY197" s="563"/>
      <c r="AZ197" s="563"/>
      <c r="BA197" s="563"/>
      <c r="BB197" s="563"/>
      <c r="BC197" s="563"/>
      <c r="BD197" s="563"/>
      <c r="BE197" s="563"/>
      <c r="BF197" s="563"/>
      <c r="BG197" s="563"/>
      <c r="BH197" s="563"/>
      <c r="BI197" s="563"/>
      <c r="BJ197" s="563"/>
      <c r="BK197" s="563"/>
      <c r="BL197" s="563"/>
      <c r="BM197" s="563"/>
      <c r="BN197" s="563"/>
      <c r="BO197" s="563"/>
      <c r="BP197" s="563"/>
      <c r="BQ197" s="563"/>
      <c r="BR197" s="563"/>
      <c r="BS197" s="563"/>
      <c r="BT197" s="563"/>
      <c r="BU197" s="563"/>
      <c r="BV197" s="563"/>
      <c r="BW197" s="563"/>
      <c r="BX197" s="563"/>
      <c r="BY197" s="563"/>
      <c r="BZ197" s="563"/>
      <c r="CA197" s="563"/>
      <c r="CB197" s="563"/>
      <c r="CC197" s="563"/>
      <c r="CD197" s="563"/>
      <c r="CE197" s="563"/>
      <c r="CF197" s="563"/>
      <c r="CG197" s="563"/>
      <c r="CH197" s="563"/>
      <c r="CI197" s="563"/>
      <c r="CJ197" s="563"/>
      <c r="CK197" s="563"/>
      <c r="CL197" s="563"/>
      <c r="CM197" s="563"/>
      <c r="CN197" s="563"/>
      <c r="CO197" s="563"/>
      <c r="CP197" s="563"/>
      <c r="CQ197" s="563"/>
      <c r="CR197" s="563"/>
      <c r="CS197" s="563"/>
      <c r="CT197" s="563"/>
      <c r="CU197" s="563"/>
      <c r="CV197" s="563"/>
      <c r="CW197" s="563"/>
      <c r="CX197" s="563"/>
    </row>
    <row r="198" spans="1:102" ht="12.75">
      <c r="A198" s="344" t="str">
        <f>A$166</f>
        <v>Circumcision Surgical Tray</v>
      </c>
      <c r="B198" s="342"/>
      <c r="C198" s="343">
        <f>SUM(K167:K176)</f>
        <v>30.286885245901637</v>
      </c>
      <c r="D198" s="166"/>
      <c r="E198" s="249"/>
      <c r="F198" s="167"/>
      <c r="G198" s="167"/>
      <c r="H198" s="250"/>
      <c r="I198" s="155"/>
      <c r="J198" s="252"/>
      <c r="K198" s="252"/>
      <c r="L198" s="252"/>
      <c r="M198" s="253"/>
      <c r="N198" s="252"/>
      <c r="O198" s="254"/>
      <c r="AL198" s="563"/>
      <c r="AM198" s="563"/>
      <c r="AN198" s="563"/>
      <c r="AO198" s="563"/>
      <c r="AP198" s="563"/>
      <c r="AQ198" s="563"/>
      <c r="AR198" s="563"/>
      <c r="AS198" s="563"/>
      <c r="AT198" s="563"/>
      <c r="AU198" s="563"/>
      <c r="AV198" s="563"/>
      <c r="AW198" s="563"/>
      <c r="AX198" s="563"/>
      <c r="AY198" s="563"/>
      <c r="AZ198" s="563"/>
      <c r="BA198" s="563"/>
      <c r="BB198" s="563"/>
      <c r="BC198" s="563"/>
      <c r="BD198" s="563"/>
      <c r="BE198" s="563"/>
      <c r="BF198" s="563"/>
      <c r="BG198" s="563"/>
      <c r="BH198" s="563"/>
      <c r="BI198" s="563"/>
      <c r="BJ198" s="563"/>
      <c r="BK198" s="563"/>
      <c r="BL198" s="563"/>
      <c r="BM198" s="563"/>
      <c r="BN198" s="563"/>
      <c r="BO198" s="563"/>
      <c r="BP198" s="563"/>
      <c r="BQ198" s="563"/>
      <c r="BR198" s="563"/>
      <c r="BS198" s="563"/>
      <c r="BT198" s="563"/>
      <c r="BU198" s="563"/>
      <c r="BV198" s="563"/>
      <c r="BW198" s="563"/>
      <c r="BX198" s="563"/>
      <c r="BY198" s="563"/>
      <c r="BZ198" s="563"/>
      <c r="CA198" s="563"/>
      <c r="CB198" s="563"/>
      <c r="CC198" s="563"/>
      <c r="CD198" s="563"/>
      <c r="CE198" s="563"/>
      <c r="CF198" s="563"/>
      <c r="CG198" s="563"/>
      <c r="CH198" s="563"/>
      <c r="CI198" s="563"/>
      <c r="CJ198" s="563"/>
      <c r="CK198" s="563"/>
      <c r="CL198" s="563"/>
      <c r="CM198" s="563"/>
      <c r="CN198" s="563"/>
      <c r="CO198" s="563"/>
      <c r="CP198" s="563"/>
      <c r="CQ198" s="563"/>
      <c r="CR198" s="563"/>
      <c r="CS198" s="563"/>
      <c r="CT198" s="563"/>
      <c r="CU198" s="563"/>
      <c r="CV198" s="563"/>
      <c r="CW198" s="563"/>
      <c r="CX198" s="563"/>
    </row>
    <row r="199" spans="1:102" ht="12.75">
      <c r="A199" s="344" t="str">
        <f>A$177</f>
        <v>Emergency Tray</v>
      </c>
      <c r="B199" s="342"/>
      <c r="C199" s="343">
        <f>SUM(K178:K185)</f>
        <v>12.367486338797814</v>
      </c>
      <c r="D199" s="166"/>
      <c r="E199" s="249"/>
      <c r="F199" s="167"/>
      <c r="G199" s="167"/>
      <c r="H199" s="250"/>
      <c r="I199" s="155"/>
      <c r="J199" s="252"/>
      <c r="K199" s="252"/>
      <c r="L199" s="252"/>
      <c r="M199" s="253"/>
      <c r="N199" s="252"/>
      <c r="O199" s="254"/>
      <c r="AL199" s="563"/>
      <c r="AM199" s="563"/>
      <c r="AN199" s="563"/>
      <c r="AO199" s="563"/>
      <c r="AP199" s="563"/>
      <c r="AQ199" s="563"/>
      <c r="AR199" s="563"/>
      <c r="AS199" s="563"/>
      <c r="AT199" s="563"/>
      <c r="AU199" s="563"/>
      <c r="AV199" s="563"/>
      <c r="AW199" s="563"/>
      <c r="AX199" s="563"/>
      <c r="AY199" s="563"/>
      <c r="AZ199" s="563"/>
      <c r="BA199" s="563"/>
      <c r="BB199" s="563"/>
      <c r="BC199" s="563"/>
      <c r="BD199" s="563"/>
      <c r="BE199" s="563"/>
      <c r="BF199" s="563"/>
      <c r="BG199" s="563"/>
      <c r="BH199" s="563"/>
      <c r="BI199" s="563"/>
      <c r="BJ199" s="563"/>
      <c r="BK199" s="563"/>
      <c r="BL199" s="563"/>
      <c r="BM199" s="563"/>
      <c r="BN199" s="563"/>
      <c r="BO199" s="563"/>
      <c r="BP199" s="563"/>
      <c r="BQ199" s="563"/>
      <c r="BR199" s="563"/>
      <c r="BS199" s="563"/>
      <c r="BT199" s="563"/>
      <c r="BU199" s="563"/>
      <c r="BV199" s="563"/>
      <c r="BW199" s="563"/>
      <c r="BX199" s="563"/>
      <c r="BY199" s="563"/>
      <c r="BZ199" s="563"/>
      <c r="CA199" s="563"/>
      <c r="CB199" s="563"/>
      <c r="CC199" s="563"/>
      <c r="CD199" s="563"/>
      <c r="CE199" s="563"/>
      <c r="CF199" s="563"/>
      <c r="CG199" s="563"/>
      <c r="CH199" s="563"/>
      <c r="CI199" s="563"/>
      <c r="CJ199" s="563"/>
      <c r="CK199" s="563"/>
      <c r="CL199" s="563"/>
      <c r="CM199" s="563"/>
      <c r="CN199" s="563"/>
      <c r="CO199" s="563"/>
      <c r="CP199" s="563"/>
      <c r="CQ199" s="563"/>
      <c r="CR199" s="563"/>
      <c r="CS199" s="563"/>
      <c r="CT199" s="563"/>
      <c r="CU199" s="563"/>
      <c r="CV199" s="563"/>
      <c r="CW199" s="563"/>
      <c r="CX199" s="563"/>
    </row>
    <row r="200" spans="1:102" ht="12.75">
      <c r="A200" s="287" t="s">
        <v>162</v>
      </c>
      <c r="B200" s="342"/>
      <c r="C200" s="343">
        <f>SUM(C196:C197)</f>
        <v>10.713922404371583</v>
      </c>
      <c r="D200" s="166"/>
      <c r="E200" s="249"/>
      <c r="F200" s="167"/>
      <c r="G200" s="167"/>
      <c r="H200" s="250"/>
      <c r="I200" s="155"/>
      <c r="J200" s="252"/>
      <c r="K200" s="252"/>
      <c r="L200" s="252"/>
      <c r="M200" s="253"/>
      <c r="N200" s="252"/>
      <c r="O200" s="254"/>
      <c r="AL200" s="563"/>
      <c r="AM200" s="563"/>
      <c r="AN200" s="563"/>
      <c r="AO200" s="563"/>
      <c r="AP200" s="563"/>
      <c r="AQ200" s="563"/>
      <c r="AR200" s="563"/>
      <c r="AS200" s="563"/>
      <c r="AT200" s="563"/>
      <c r="AU200" s="563"/>
      <c r="AV200" s="563"/>
      <c r="AW200" s="563"/>
      <c r="AX200" s="563"/>
      <c r="AY200" s="563"/>
      <c r="AZ200" s="563"/>
      <c r="BA200" s="563"/>
      <c r="BB200" s="563"/>
      <c r="BC200" s="563"/>
      <c r="BD200" s="563"/>
      <c r="BE200" s="563"/>
      <c r="BF200" s="563"/>
      <c r="BG200" s="563"/>
      <c r="BH200" s="563"/>
      <c r="BI200" s="563"/>
      <c r="BJ200" s="563"/>
      <c r="BK200" s="563"/>
      <c r="BL200" s="563"/>
      <c r="BM200" s="563"/>
      <c r="BN200" s="563"/>
      <c r="BO200" s="563"/>
      <c r="BP200" s="563"/>
      <c r="BQ200" s="563"/>
      <c r="BR200" s="563"/>
      <c r="BS200" s="563"/>
      <c r="BT200" s="563"/>
      <c r="BU200" s="563"/>
      <c r="BV200" s="563"/>
      <c r="BW200" s="563"/>
      <c r="BX200" s="563"/>
      <c r="BY200" s="563"/>
      <c r="BZ200" s="563"/>
      <c r="CA200" s="563"/>
      <c r="CB200" s="563"/>
      <c r="CC200" s="563"/>
      <c r="CD200" s="563"/>
      <c r="CE200" s="563"/>
      <c r="CF200" s="563"/>
      <c r="CG200" s="563"/>
      <c r="CH200" s="563"/>
      <c r="CI200" s="563"/>
      <c r="CJ200" s="563"/>
      <c r="CK200" s="563"/>
      <c r="CL200" s="563"/>
      <c r="CM200" s="563"/>
      <c r="CN200" s="563"/>
      <c r="CO200" s="563"/>
      <c r="CP200" s="563"/>
      <c r="CQ200" s="563"/>
      <c r="CR200" s="563"/>
      <c r="CS200" s="563"/>
      <c r="CT200" s="563"/>
      <c r="CU200" s="563"/>
      <c r="CV200" s="563"/>
      <c r="CW200" s="563"/>
      <c r="CX200" s="563"/>
    </row>
    <row r="201" spans="1:102" ht="12.75">
      <c r="A201" s="287"/>
      <c r="B201" s="253"/>
      <c r="C201" s="345"/>
      <c r="D201" s="166"/>
      <c r="E201" s="249"/>
      <c r="F201" s="167"/>
      <c r="G201" s="167"/>
      <c r="H201" s="250"/>
      <c r="I201" s="155"/>
      <c r="J201" s="252"/>
      <c r="K201" s="252"/>
      <c r="L201" s="252"/>
      <c r="M201" s="253"/>
      <c r="N201" s="252"/>
      <c r="O201" s="254"/>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c r="BZ201" s="563"/>
      <c r="CA201" s="563"/>
      <c r="CB201" s="563"/>
      <c r="CC201" s="563"/>
      <c r="CD201" s="563"/>
      <c r="CE201" s="563"/>
      <c r="CF201" s="563"/>
      <c r="CG201" s="563"/>
      <c r="CH201" s="563"/>
      <c r="CI201" s="563"/>
      <c r="CJ201" s="563"/>
      <c r="CK201" s="563"/>
      <c r="CL201" s="563"/>
      <c r="CM201" s="563"/>
      <c r="CN201" s="563"/>
      <c r="CO201" s="563"/>
      <c r="CP201" s="563"/>
      <c r="CQ201" s="563"/>
      <c r="CR201" s="563"/>
      <c r="CS201" s="563"/>
      <c r="CT201" s="563"/>
      <c r="CU201" s="563"/>
      <c r="CV201" s="563"/>
      <c r="CW201" s="563"/>
      <c r="CX201" s="563"/>
    </row>
    <row r="202" spans="1:102" s="315" customFormat="1" ht="25.5">
      <c r="A202" s="346" t="s">
        <v>228</v>
      </c>
      <c r="B202" s="346"/>
      <c r="C202" s="346"/>
      <c r="D202" s="271"/>
      <c r="E202" s="271"/>
      <c r="F202" s="271"/>
      <c r="G202" s="271"/>
      <c r="Q202" s="316" t="s">
        <v>57</v>
      </c>
      <c r="R202" s="317" t="s">
        <v>52</v>
      </c>
      <c r="S202" s="318" t="e">
        <f>#REF!</f>
        <v>#REF!</v>
      </c>
      <c r="T202" s="319">
        <v>1</v>
      </c>
      <c r="U202" s="319">
        <v>0</v>
      </c>
      <c r="V202" s="319">
        <v>0</v>
      </c>
      <c r="X202" s="320" t="e">
        <f>#REF!</f>
        <v>#REF!</v>
      </c>
      <c r="Y202" s="321">
        <v>1</v>
      </c>
      <c r="Z202" s="321">
        <v>1</v>
      </c>
      <c r="AA202" s="322" t="e">
        <f>X202*Y202*Z202</f>
        <v>#REF!</v>
      </c>
      <c r="AB202" s="323" t="e">
        <f>VLOOKUP(S202,Personnel_Cost,7)</f>
        <v>#REF!</v>
      </c>
      <c r="AC202" s="323" t="e">
        <f>AA202*AB202</f>
        <v>#REF!</v>
      </c>
      <c r="AD202" s="323" t="e">
        <f>AC202*T202</f>
        <v>#REF!</v>
      </c>
      <c r="AE202" s="323" t="e">
        <f>AC202*U202</f>
        <v>#REF!</v>
      </c>
      <c r="AF202" s="323" t="e">
        <f>AC202*V202</f>
        <v>#REF!</v>
      </c>
      <c r="AG202" s="323">
        <v>0</v>
      </c>
      <c r="AH202" s="323">
        <v>0</v>
      </c>
      <c r="AI202" s="323">
        <v>0</v>
      </c>
      <c r="AL202" s="564"/>
      <c r="AM202" s="564"/>
      <c r="AN202" s="564"/>
      <c r="AO202" s="564"/>
      <c r="AP202" s="564"/>
      <c r="AQ202" s="564"/>
      <c r="AR202" s="564"/>
      <c r="AS202" s="564"/>
      <c r="AT202" s="564"/>
      <c r="AU202" s="564"/>
      <c r="AV202" s="564"/>
      <c r="AW202" s="564"/>
      <c r="AX202" s="564"/>
      <c r="AY202" s="564"/>
      <c r="AZ202" s="564"/>
      <c r="BA202" s="564"/>
      <c r="BB202" s="564"/>
      <c r="BC202" s="564"/>
      <c r="BD202" s="564"/>
      <c r="BE202" s="564"/>
      <c r="BF202" s="564"/>
      <c r="BG202" s="564"/>
      <c r="BH202" s="564"/>
      <c r="BI202" s="564"/>
      <c r="BJ202" s="564"/>
      <c r="BK202" s="564"/>
      <c r="BL202" s="564"/>
      <c r="BM202" s="564"/>
      <c r="BN202" s="564"/>
      <c r="BO202" s="564"/>
      <c r="BP202" s="564"/>
      <c r="BQ202" s="564"/>
      <c r="BR202" s="564"/>
      <c r="BS202" s="564"/>
      <c r="BT202" s="564"/>
      <c r="BU202" s="564"/>
      <c r="BV202" s="564"/>
      <c r="BW202" s="564"/>
      <c r="BX202" s="564"/>
      <c r="BY202" s="564"/>
      <c r="BZ202" s="564"/>
      <c r="CA202" s="564"/>
      <c r="CB202" s="564"/>
      <c r="CC202" s="564"/>
      <c r="CD202" s="564"/>
      <c r="CE202" s="564"/>
      <c r="CF202" s="564"/>
      <c r="CG202" s="564"/>
      <c r="CH202" s="564"/>
      <c r="CI202" s="564"/>
      <c r="CJ202" s="564"/>
      <c r="CK202" s="564"/>
      <c r="CL202" s="564"/>
      <c r="CM202" s="564"/>
      <c r="CN202" s="564"/>
      <c r="CO202" s="564"/>
      <c r="CP202" s="564"/>
      <c r="CQ202" s="564"/>
      <c r="CR202" s="564"/>
      <c r="CS202" s="564"/>
      <c r="CT202" s="564"/>
      <c r="CU202" s="564"/>
      <c r="CV202" s="564"/>
      <c r="CW202" s="564"/>
      <c r="CX202" s="564"/>
    </row>
    <row r="203" spans="1:102" ht="12.75">
      <c r="A203" s="243" t="str">
        <f>A$7</f>
        <v>CONSUMABLES</v>
      </c>
      <c r="B203" s="268"/>
      <c r="C203" s="347">
        <f>SUM(K9:K10)+SUM(K12:K44)+SUM(K80:K90)+SUM(K92:K115)+SUM(K136:K139)</f>
        <v>21.779801912568303</v>
      </c>
      <c r="D203" s="166"/>
      <c r="E203" s="249"/>
      <c r="F203" s="167"/>
      <c r="G203" s="167"/>
      <c r="H203" s="250"/>
      <c r="I203" s="155"/>
      <c r="J203" s="252"/>
      <c r="K203" s="252"/>
      <c r="L203" s="252"/>
      <c r="M203" s="253"/>
      <c r="N203" s="252"/>
      <c r="O203" s="254"/>
      <c r="AL203" s="563"/>
      <c r="AM203" s="563"/>
      <c r="AN203" s="563"/>
      <c r="AO203" s="563"/>
      <c r="AP203" s="563"/>
      <c r="AQ203" s="563"/>
      <c r="AR203" s="563"/>
      <c r="AS203" s="563"/>
      <c r="AT203" s="563"/>
      <c r="AU203" s="563"/>
      <c r="AV203" s="563"/>
      <c r="AW203" s="563"/>
      <c r="AX203" s="563"/>
      <c r="AY203" s="563"/>
      <c r="AZ203" s="563"/>
      <c r="BA203" s="563"/>
      <c r="BB203" s="563"/>
      <c r="BC203" s="563"/>
      <c r="BD203" s="563"/>
      <c r="BE203" s="563"/>
      <c r="BF203" s="563"/>
      <c r="BG203" s="563"/>
      <c r="BH203" s="563"/>
      <c r="BI203" s="563"/>
      <c r="BJ203" s="563"/>
      <c r="BK203" s="563"/>
      <c r="BL203" s="563"/>
      <c r="BM203" s="563"/>
      <c r="BN203" s="563"/>
      <c r="BO203" s="563"/>
      <c r="BP203" s="563"/>
      <c r="BQ203" s="563"/>
      <c r="BR203" s="563"/>
      <c r="BS203" s="563"/>
      <c r="BT203" s="563"/>
      <c r="BU203" s="563"/>
      <c r="BV203" s="563"/>
      <c r="BW203" s="563"/>
      <c r="BX203" s="563"/>
      <c r="BY203" s="563"/>
      <c r="BZ203" s="563"/>
      <c r="CA203" s="563"/>
      <c r="CB203" s="563"/>
      <c r="CC203" s="563"/>
      <c r="CD203" s="563"/>
      <c r="CE203" s="563"/>
      <c r="CF203" s="563"/>
      <c r="CG203" s="563"/>
      <c r="CH203" s="563"/>
      <c r="CI203" s="563"/>
      <c r="CJ203" s="563"/>
      <c r="CK203" s="563"/>
      <c r="CL203" s="563"/>
      <c r="CM203" s="563"/>
      <c r="CN203" s="563"/>
      <c r="CO203" s="563"/>
      <c r="CP203" s="563"/>
      <c r="CQ203" s="563"/>
      <c r="CR203" s="563"/>
      <c r="CS203" s="563"/>
      <c r="CT203" s="563"/>
      <c r="CU203" s="563"/>
      <c r="CV203" s="563"/>
      <c r="CW203" s="563"/>
      <c r="CX203" s="563"/>
    </row>
    <row r="204" spans="1:102" ht="12.75">
      <c r="A204" s="243" t="str">
        <f>A$140</f>
        <v>NON-CONSUMABLE SUPPLIES</v>
      </c>
      <c r="B204" s="268"/>
      <c r="C204" s="347">
        <f>(SUM(K142)+SUM(K144:K150)+SUM(K152)+SUM(K154:K157)+SUM(K165)+C205+C206)/500</f>
        <v>0.22551693989071042</v>
      </c>
      <c r="D204" s="166"/>
      <c r="E204" s="249"/>
      <c r="F204" s="167"/>
      <c r="G204" s="167"/>
      <c r="H204" s="250"/>
      <c r="I204" s="155"/>
      <c r="J204" s="252"/>
      <c r="K204" s="252"/>
      <c r="L204" s="252"/>
      <c r="M204" s="253"/>
      <c r="N204" s="252"/>
      <c r="O204" s="254"/>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G204" s="563"/>
      <c r="BH204" s="563"/>
      <c r="BI204" s="563"/>
      <c r="BJ204" s="563"/>
      <c r="BK204" s="563"/>
      <c r="BL204" s="563"/>
      <c r="BM204" s="563"/>
      <c r="BN204" s="563"/>
      <c r="BO204" s="563"/>
      <c r="BP204" s="563"/>
      <c r="BQ204" s="563"/>
      <c r="BR204" s="563"/>
      <c r="BS204" s="563"/>
      <c r="BT204" s="563"/>
      <c r="BU204" s="563"/>
      <c r="BV204" s="563"/>
      <c r="BW204" s="563"/>
      <c r="BX204" s="563"/>
      <c r="BY204" s="563"/>
      <c r="BZ204" s="563"/>
      <c r="CA204" s="563"/>
      <c r="CB204" s="563"/>
      <c r="CC204" s="563"/>
      <c r="CD204" s="563"/>
      <c r="CE204" s="563"/>
      <c r="CF204" s="563"/>
      <c r="CG204" s="563"/>
      <c r="CH204" s="563"/>
      <c r="CI204" s="563"/>
      <c r="CJ204" s="563"/>
      <c r="CK204" s="563"/>
      <c r="CL204" s="563"/>
      <c r="CM204" s="563"/>
      <c r="CN204" s="563"/>
      <c r="CO204" s="563"/>
      <c r="CP204" s="563"/>
      <c r="CQ204" s="563"/>
      <c r="CR204" s="563"/>
      <c r="CS204" s="563"/>
      <c r="CT204" s="563"/>
      <c r="CU204" s="563"/>
      <c r="CV204" s="563"/>
      <c r="CW204" s="563"/>
      <c r="CX204" s="563"/>
    </row>
    <row r="205" spans="1:102" ht="12.75" customHeight="1">
      <c r="A205" s="341" t="str">
        <f>A$166</f>
        <v>Circumcision Surgical Tray</v>
      </c>
      <c r="B205" s="268"/>
      <c r="C205" s="347">
        <f>SUM(K167:K176)</f>
        <v>30.286885245901637</v>
      </c>
      <c r="D205" s="166"/>
      <c r="E205" s="249"/>
      <c r="F205" s="167"/>
      <c r="G205" s="167"/>
      <c r="H205" s="250"/>
      <c r="I205" s="155"/>
      <c r="J205" s="252"/>
      <c r="K205" s="252"/>
      <c r="L205" s="252"/>
      <c r="M205" s="253"/>
      <c r="N205" s="252"/>
      <c r="O205" s="254"/>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3"/>
      <c r="BJ205" s="563"/>
      <c r="BK205" s="563"/>
      <c r="BL205" s="563"/>
      <c r="BM205" s="563"/>
      <c r="BN205" s="563"/>
      <c r="BO205" s="563"/>
      <c r="BP205" s="563"/>
      <c r="BQ205" s="563"/>
      <c r="BR205" s="563"/>
      <c r="BS205" s="563"/>
      <c r="BT205" s="563"/>
      <c r="BU205" s="563"/>
      <c r="BV205" s="563"/>
      <c r="BW205" s="563"/>
      <c r="BX205" s="563"/>
      <c r="BY205" s="563"/>
      <c r="BZ205" s="563"/>
      <c r="CA205" s="563"/>
      <c r="CB205" s="563"/>
      <c r="CC205" s="563"/>
      <c r="CD205" s="563"/>
      <c r="CE205" s="563"/>
      <c r="CF205" s="563"/>
      <c r="CG205" s="563"/>
      <c r="CH205" s="563"/>
      <c r="CI205" s="563"/>
      <c r="CJ205" s="563"/>
      <c r="CK205" s="563"/>
      <c r="CL205" s="563"/>
      <c r="CM205" s="563"/>
      <c r="CN205" s="563"/>
      <c r="CO205" s="563"/>
      <c r="CP205" s="563"/>
      <c r="CQ205" s="563"/>
      <c r="CR205" s="563"/>
      <c r="CS205" s="563"/>
      <c r="CT205" s="563"/>
      <c r="CU205" s="563"/>
      <c r="CV205" s="563"/>
      <c r="CW205" s="563"/>
      <c r="CX205" s="563"/>
    </row>
    <row r="206" spans="1:102" ht="12.75">
      <c r="A206" s="341" t="str">
        <f>A$177</f>
        <v>Emergency Tray</v>
      </c>
      <c r="B206" s="268"/>
      <c r="C206" s="347">
        <f>SUM(K178:K185)</f>
        <v>12.367486338797814</v>
      </c>
      <c r="D206" s="166"/>
      <c r="E206" s="249"/>
      <c r="F206" s="167"/>
      <c r="G206" s="167"/>
      <c r="H206" s="250"/>
      <c r="I206" s="155"/>
      <c r="J206" s="252"/>
      <c r="K206" s="252"/>
      <c r="L206" s="252"/>
      <c r="M206" s="253"/>
      <c r="N206" s="252"/>
      <c r="O206" s="254"/>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G206" s="563"/>
      <c r="BH206" s="563"/>
      <c r="BI206" s="563"/>
      <c r="BJ206" s="563"/>
      <c r="BK206" s="563"/>
      <c r="BL206" s="563"/>
      <c r="BM206" s="563"/>
      <c r="BN206" s="563"/>
      <c r="BO206" s="563"/>
      <c r="BP206" s="563"/>
      <c r="BQ206" s="563"/>
      <c r="BR206" s="563"/>
      <c r="BS206" s="563"/>
      <c r="BT206" s="563"/>
      <c r="BU206" s="563"/>
      <c r="BV206" s="563"/>
      <c r="BW206" s="563"/>
      <c r="BX206" s="563"/>
      <c r="BY206" s="563"/>
      <c r="BZ206" s="563"/>
      <c r="CA206" s="563"/>
      <c r="CB206" s="563"/>
      <c r="CC206" s="563"/>
      <c r="CD206" s="563"/>
      <c r="CE206" s="563"/>
      <c r="CF206" s="563"/>
      <c r="CG206" s="563"/>
      <c r="CH206" s="563"/>
      <c r="CI206" s="563"/>
      <c r="CJ206" s="563"/>
      <c r="CK206" s="563"/>
      <c r="CL206" s="563"/>
      <c r="CM206" s="563"/>
      <c r="CN206" s="563"/>
      <c r="CO206" s="563"/>
      <c r="CP206" s="563"/>
      <c r="CQ206" s="563"/>
      <c r="CR206" s="563"/>
      <c r="CS206" s="563"/>
      <c r="CT206" s="563"/>
      <c r="CU206" s="563"/>
      <c r="CV206" s="563"/>
      <c r="CW206" s="563"/>
      <c r="CX206" s="563"/>
    </row>
    <row r="207" spans="1:102" ht="12.75">
      <c r="A207" s="243" t="s">
        <v>162</v>
      </c>
      <c r="B207" s="268"/>
      <c r="C207" s="347">
        <f>SUM(C203:C204)</f>
        <v>22.005318852459013</v>
      </c>
      <c r="D207" s="166"/>
      <c r="E207" s="249"/>
      <c r="F207" s="167"/>
      <c r="G207" s="167"/>
      <c r="H207" s="250"/>
      <c r="I207" s="155"/>
      <c r="J207" s="252"/>
      <c r="K207" s="252"/>
      <c r="L207" s="252"/>
      <c r="M207" s="253"/>
      <c r="N207" s="252"/>
      <c r="O207" s="254"/>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3"/>
      <c r="BK207" s="563"/>
      <c r="BL207" s="563"/>
      <c r="BM207" s="563"/>
      <c r="BN207" s="563"/>
      <c r="BO207" s="563"/>
      <c r="BP207" s="563"/>
      <c r="BQ207" s="563"/>
      <c r="BR207" s="563"/>
      <c r="BS207" s="563"/>
      <c r="BT207" s="563"/>
      <c r="BU207" s="563"/>
      <c r="BV207" s="563"/>
      <c r="BW207" s="563"/>
      <c r="BX207" s="563"/>
      <c r="BY207" s="563"/>
      <c r="BZ207" s="563"/>
      <c r="CA207" s="563"/>
      <c r="CB207" s="563"/>
      <c r="CC207" s="563"/>
      <c r="CD207" s="563"/>
      <c r="CE207" s="563"/>
      <c r="CF207" s="563"/>
      <c r="CG207" s="563"/>
      <c r="CH207" s="563"/>
      <c r="CI207" s="563"/>
      <c r="CJ207" s="563"/>
      <c r="CK207" s="563"/>
      <c r="CL207" s="563"/>
      <c r="CM207" s="563"/>
      <c r="CN207" s="563"/>
      <c r="CO207" s="563"/>
      <c r="CP207" s="563"/>
      <c r="CQ207" s="563"/>
      <c r="CR207" s="563"/>
      <c r="CS207" s="563"/>
      <c r="CT207" s="563"/>
      <c r="CU207" s="563"/>
      <c r="CV207" s="563"/>
      <c r="CW207" s="563"/>
      <c r="CX207" s="563"/>
    </row>
    <row r="208" spans="1:102" ht="12.75">
      <c r="A208" s="287"/>
      <c r="B208" s="342"/>
      <c r="C208" s="166"/>
      <c r="D208" s="166"/>
      <c r="E208" s="249"/>
      <c r="F208" s="167"/>
      <c r="G208" s="167"/>
      <c r="H208" s="250"/>
      <c r="I208" s="251"/>
      <c r="J208" s="252"/>
      <c r="K208" s="252"/>
      <c r="L208" s="252"/>
      <c r="M208" s="253"/>
      <c r="N208" s="252"/>
      <c r="O208" s="254"/>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G208" s="563"/>
      <c r="BH208" s="563"/>
      <c r="BI208" s="563"/>
      <c r="BJ208" s="563"/>
      <c r="BK208" s="563"/>
      <c r="BL208" s="563"/>
      <c r="BM208" s="563"/>
      <c r="BN208" s="563"/>
      <c r="BO208" s="563"/>
      <c r="BP208" s="563"/>
      <c r="BQ208" s="563"/>
      <c r="BR208" s="563"/>
      <c r="BS208" s="563"/>
      <c r="BT208" s="563"/>
      <c r="BU208" s="563"/>
      <c r="BV208" s="563"/>
      <c r="BW208" s="563"/>
      <c r="BX208" s="563"/>
      <c r="BY208" s="563"/>
      <c r="BZ208" s="563"/>
      <c r="CA208" s="563"/>
      <c r="CB208" s="563"/>
      <c r="CC208" s="563"/>
      <c r="CD208" s="563"/>
      <c r="CE208" s="563"/>
      <c r="CF208" s="563"/>
      <c r="CG208" s="563"/>
      <c r="CH208" s="563"/>
      <c r="CI208" s="563"/>
      <c r="CJ208" s="563"/>
      <c r="CK208" s="563"/>
      <c r="CL208" s="563"/>
      <c r="CM208" s="563"/>
      <c r="CN208" s="563"/>
      <c r="CO208" s="563"/>
      <c r="CP208" s="563"/>
      <c r="CQ208" s="563"/>
      <c r="CR208" s="563"/>
      <c r="CS208" s="563"/>
      <c r="CT208" s="563"/>
      <c r="CU208" s="563"/>
      <c r="CV208" s="563"/>
      <c r="CW208" s="563"/>
      <c r="CX208" s="563"/>
    </row>
    <row r="209" spans="1:102" s="315" customFormat="1" ht="25.5">
      <c r="A209" s="346" t="s">
        <v>229</v>
      </c>
      <c r="B209" s="346"/>
      <c r="C209" s="346"/>
      <c r="D209" s="271"/>
      <c r="E209" s="271"/>
      <c r="F209" s="271"/>
      <c r="G209" s="271"/>
      <c r="Q209" s="316" t="s">
        <v>57</v>
      </c>
      <c r="R209" s="317" t="s">
        <v>52</v>
      </c>
      <c r="S209" s="318" t="e">
        <f>#REF!</f>
        <v>#REF!</v>
      </c>
      <c r="T209" s="319">
        <v>1</v>
      </c>
      <c r="U209" s="319">
        <v>0</v>
      </c>
      <c r="V209" s="319">
        <v>0</v>
      </c>
      <c r="X209" s="320" t="e">
        <f>#REF!</f>
        <v>#REF!</v>
      </c>
      <c r="Y209" s="321">
        <v>1</v>
      </c>
      <c r="Z209" s="321">
        <v>1</v>
      </c>
      <c r="AA209" s="322" t="e">
        <f>X209*Y209*Z209</f>
        <v>#REF!</v>
      </c>
      <c r="AB209" s="323" t="e">
        <f>VLOOKUP(S209,Personnel_Cost,7)</f>
        <v>#REF!</v>
      </c>
      <c r="AC209" s="323" t="e">
        <f>AA209*AB209</f>
        <v>#REF!</v>
      </c>
      <c r="AD209" s="323" t="e">
        <f>AC209*T209</f>
        <v>#REF!</v>
      </c>
      <c r="AE209" s="323" t="e">
        <f>AC209*U209</f>
        <v>#REF!</v>
      </c>
      <c r="AF209" s="323" t="e">
        <f>AC209*V209</f>
        <v>#REF!</v>
      </c>
      <c r="AG209" s="323">
        <v>0</v>
      </c>
      <c r="AH209" s="323">
        <v>0</v>
      </c>
      <c r="AI209" s="323">
        <v>0</v>
      </c>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row>
    <row r="210" spans="1:102" ht="12.75">
      <c r="A210" s="243" t="str">
        <f>A$7</f>
        <v>CONSUMABLES</v>
      </c>
      <c r="B210" s="268"/>
      <c r="C210" s="347">
        <f>SUM(K9:K10)+SUM(K12:K44)+SUM(K80:K90)+SUM(K117:K130)+SUM(K136:K139)</f>
        <v>15.696399544626594</v>
      </c>
      <c r="D210" s="166"/>
      <c r="E210" s="249"/>
      <c r="F210" s="167"/>
      <c r="G210" s="167"/>
      <c r="H210" s="250"/>
      <c r="I210" s="155"/>
      <c r="J210" s="252"/>
      <c r="K210" s="252"/>
      <c r="L210" s="252"/>
      <c r="M210" s="253"/>
      <c r="N210" s="252"/>
      <c r="O210" s="254"/>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G210" s="563"/>
      <c r="BH210" s="563"/>
      <c r="BI210" s="563"/>
      <c r="BJ210" s="563"/>
      <c r="BK210" s="563"/>
      <c r="BL210" s="563"/>
      <c r="BM210" s="563"/>
      <c r="BN210" s="563"/>
      <c r="BO210" s="563"/>
      <c r="BP210" s="563"/>
      <c r="BQ210" s="563"/>
      <c r="BR210" s="563"/>
      <c r="BS210" s="563"/>
      <c r="BT210" s="563"/>
      <c r="BU210" s="563"/>
      <c r="BV210" s="563"/>
      <c r="BW210" s="563"/>
      <c r="BX210" s="563"/>
      <c r="BY210" s="563"/>
      <c r="BZ210" s="563"/>
      <c r="CA210" s="563"/>
      <c r="CB210" s="563"/>
      <c r="CC210" s="563"/>
      <c r="CD210" s="563"/>
      <c r="CE210" s="563"/>
      <c r="CF210" s="563"/>
      <c r="CG210" s="563"/>
      <c r="CH210" s="563"/>
      <c r="CI210" s="563"/>
      <c r="CJ210" s="563"/>
      <c r="CK210" s="563"/>
      <c r="CL210" s="563"/>
      <c r="CM210" s="563"/>
      <c r="CN210" s="563"/>
      <c r="CO210" s="563"/>
      <c r="CP210" s="563"/>
      <c r="CQ210" s="563"/>
      <c r="CR210" s="563"/>
      <c r="CS210" s="563"/>
      <c r="CT210" s="563"/>
      <c r="CU210" s="563"/>
      <c r="CV210" s="563"/>
      <c r="CW210" s="563"/>
      <c r="CX210" s="563"/>
    </row>
    <row r="211" spans="1:102" ht="12.75">
      <c r="A211" s="243" t="str">
        <f>A$140</f>
        <v>NON-CONSUMABLE SUPPLIES</v>
      </c>
      <c r="B211" s="268"/>
      <c r="C211" s="347">
        <f>(SUM(K142)+SUM(K144:K150)+SUM(K152)+SUM(K159)+SUM(K165)+C212+C213)/500</f>
        <v>0.22532950819672135</v>
      </c>
      <c r="D211" s="166"/>
      <c r="E211" s="249"/>
      <c r="F211" s="167"/>
      <c r="G211" s="167"/>
      <c r="H211" s="250"/>
      <c r="I211" s="155"/>
      <c r="J211" s="252"/>
      <c r="K211" s="252"/>
      <c r="L211" s="252"/>
      <c r="M211" s="253"/>
      <c r="N211" s="252"/>
      <c r="O211" s="254"/>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G211" s="563"/>
      <c r="BH211" s="563"/>
      <c r="BI211" s="563"/>
      <c r="BJ211" s="563"/>
      <c r="BK211" s="563"/>
      <c r="BL211" s="563"/>
      <c r="BM211" s="563"/>
      <c r="BN211" s="563"/>
      <c r="BO211" s="563"/>
      <c r="BP211" s="563"/>
      <c r="BQ211" s="563"/>
      <c r="BR211" s="563"/>
      <c r="BS211" s="563"/>
      <c r="BT211" s="563"/>
      <c r="BU211" s="563"/>
      <c r="BV211" s="563"/>
      <c r="BW211" s="563"/>
      <c r="BX211" s="563"/>
      <c r="BY211" s="563"/>
      <c r="BZ211" s="563"/>
      <c r="CA211" s="563"/>
      <c r="CB211" s="563"/>
      <c r="CC211" s="563"/>
      <c r="CD211" s="563"/>
      <c r="CE211" s="563"/>
      <c r="CF211" s="563"/>
      <c r="CG211" s="563"/>
      <c r="CH211" s="563"/>
      <c r="CI211" s="563"/>
      <c r="CJ211" s="563"/>
      <c r="CK211" s="563"/>
      <c r="CL211" s="563"/>
      <c r="CM211" s="563"/>
      <c r="CN211" s="563"/>
      <c r="CO211" s="563"/>
      <c r="CP211" s="563"/>
      <c r="CQ211" s="563"/>
      <c r="CR211" s="563"/>
      <c r="CS211" s="563"/>
      <c r="CT211" s="563"/>
      <c r="CU211" s="563"/>
      <c r="CV211" s="563"/>
      <c r="CW211" s="563"/>
      <c r="CX211" s="563"/>
    </row>
    <row r="212" spans="1:102" ht="12.75">
      <c r="A212" s="341" t="str">
        <f>A$166</f>
        <v>Circumcision Surgical Tray</v>
      </c>
      <c r="B212" s="268"/>
      <c r="C212" s="347">
        <f>SUM(K167:K176)</f>
        <v>30.286885245901637</v>
      </c>
      <c r="D212" s="166"/>
      <c r="E212" s="249"/>
      <c r="F212" s="167"/>
      <c r="G212" s="167"/>
      <c r="H212" s="250"/>
      <c r="I212" s="155"/>
      <c r="J212" s="252"/>
      <c r="K212" s="252"/>
      <c r="L212" s="252"/>
      <c r="M212" s="253"/>
      <c r="N212" s="252"/>
      <c r="O212" s="254"/>
      <c r="AL212" s="563"/>
      <c r="AM212" s="563"/>
      <c r="AN212" s="563"/>
      <c r="AO212" s="563"/>
      <c r="AP212" s="563"/>
      <c r="AQ212" s="563"/>
      <c r="AR212" s="563"/>
      <c r="AS212" s="563"/>
      <c r="AT212" s="563"/>
      <c r="AU212" s="563"/>
      <c r="AV212" s="563"/>
      <c r="AW212" s="563"/>
      <c r="AX212" s="563"/>
      <c r="AY212" s="563"/>
      <c r="AZ212" s="563"/>
      <c r="BA212" s="563"/>
      <c r="BB212" s="563"/>
      <c r="BC212" s="563"/>
      <c r="BD212" s="563"/>
      <c r="BE212" s="563"/>
      <c r="BF212" s="563"/>
      <c r="BG212" s="563"/>
      <c r="BH212" s="563"/>
      <c r="BI212" s="563"/>
      <c r="BJ212" s="563"/>
      <c r="BK212" s="563"/>
      <c r="BL212" s="563"/>
      <c r="BM212" s="563"/>
      <c r="BN212" s="563"/>
      <c r="BO212" s="563"/>
      <c r="BP212" s="563"/>
      <c r="BQ212" s="563"/>
      <c r="BR212" s="563"/>
      <c r="BS212" s="563"/>
      <c r="BT212" s="563"/>
      <c r="BU212" s="563"/>
      <c r="BV212" s="563"/>
      <c r="BW212" s="563"/>
      <c r="BX212" s="563"/>
      <c r="BY212" s="563"/>
      <c r="BZ212" s="563"/>
      <c r="CA212" s="563"/>
      <c r="CB212" s="563"/>
      <c r="CC212" s="563"/>
      <c r="CD212" s="563"/>
      <c r="CE212" s="563"/>
      <c r="CF212" s="563"/>
      <c r="CG212" s="563"/>
      <c r="CH212" s="563"/>
      <c r="CI212" s="563"/>
      <c r="CJ212" s="563"/>
      <c r="CK212" s="563"/>
      <c r="CL212" s="563"/>
      <c r="CM212" s="563"/>
      <c r="CN212" s="563"/>
      <c r="CO212" s="563"/>
      <c r="CP212" s="563"/>
      <c r="CQ212" s="563"/>
      <c r="CR212" s="563"/>
      <c r="CS212" s="563"/>
      <c r="CT212" s="563"/>
      <c r="CU212" s="563"/>
      <c r="CV212" s="563"/>
      <c r="CW212" s="563"/>
      <c r="CX212" s="563"/>
    </row>
    <row r="213" spans="1:102" ht="12.75">
      <c r="A213" s="341" t="str">
        <f>A$177</f>
        <v>Emergency Tray</v>
      </c>
      <c r="B213" s="268"/>
      <c r="C213" s="347">
        <f>SUM(K178:K185)</f>
        <v>12.367486338797814</v>
      </c>
      <c r="D213" s="166"/>
      <c r="E213" s="249"/>
      <c r="F213" s="167"/>
      <c r="G213" s="167"/>
      <c r="H213" s="250"/>
      <c r="I213" s="155"/>
      <c r="J213" s="252"/>
      <c r="K213" s="252"/>
      <c r="L213" s="252"/>
      <c r="M213" s="253"/>
      <c r="N213" s="252"/>
      <c r="O213" s="254"/>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J213" s="563"/>
      <c r="CK213" s="563"/>
      <c r="CL213" s="563"/>
      <c r="CM213" s="563"/>
      <c r="CN213" s="563"/>
      <c r="CO213" s="563"/>
      <c r="CP213" s="563"/>
      <c r="CQ213" s="563"/>
      <c r="CR213" s="563"/>
      <c r="CS213" s="563"/>
      <c r="CT213" s="563"/>
      <c r="CU213" s="563"/>
      <c r="CV213" s="563"/>
      <c r="CW213" s="563"/>
      <c r="CX213" s="563"/>
    </row>
    <row r="214" spans="1:102" ht="12.75">
      <c r="A214" s="243" t="s">
        <v>162</v>
      </c>
      <c r="B214" s="268"/>
      <c r="C214" s="347">
        <f>SUM(C210:C211)</f>
        <v>15.921729052823315</v>
      </c>
      <c r="D214" s="166"/>
      <c r="E214" s="249"/>
      <c r="F214" s="167"/>
      <c r="G214" s="167"/>
      <c r="H214" s="250"/>
      <c r="I214" s="155"/>
      <c r="J214" s="252"/>
      <c r="K214" s="252"/>
      <c r="L214" s="252"/>
      <c r="M214" s="253"/>
      <c r="N214" s="252"/>
      <c r="O214" s="254"/>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G214" s="563"/>
      <c r="BH214" s="563"/>
      <c r="BI214" s="563"/>
      <c r="BJ214" s="563"/>
      <c r="BK214" s="563"/>
      <c r="BL214" s="563"/>
      <c r="BM214" s="563"/>
      <c r="BN214" s="563"/>
      <c r="BO214" s="563"/>
      <c r="BP214" s="563"/>
      <c r="BQ214" s="563"/>
      <c r="BR214" s="563"/>
      <c r="BS214" s="563"/>
      <c r="BT214" s="563"/>
      <c r="BU214" s="563"/>
      <c r="BV214" s="563"/>
      <c r="BW214" s="563"/>
      <c r="BX214" s="563"/>
      <c r="BY214" s="563"/>
      <c r="BZ214" s="563"/>
      <c r="CA214" s="563"/>
      <c r="CB214" s="563"/>
      <c r="CC214" s="563"/>
      <c r="CD214" s="563"/>
      <c r="CE214" s="563"/>
      <c r="CF214" s="563"/>
      <c r="CG214" s="563"/>
      <c r="CH214" s="563"/>
      <c r="CI214" s="563"/>
      <c r="CJ214" s="563"/>
      <c r="CK214" s="563"/>
      <c r="CL214" s="563"/>
      <c r="CM214" s="563"/>
      <c r="CN214" s="563"/>
      <c r="CO214" s="563"/>
      <c r="CP214" s="563"/>
      <c r="CQ214" s="563"/>
      <c r="CR214" s="563"/>
      <c r="CS214" s="563"/>
      <c r="CT214" s="563"/>
      <c r="CU214" s="563"/>
      <c r="CV214" s="563"/>
      <c r="CW214" s="563"/>
      <c r="CX214" s="563"/>
    </row>
    <row r="215" spans="1:102" ht="12.75">
      <c r="A215" s="243"/>
      <c r="B215" s="268"/>
      <c r="C215" s="270"/>
      <c r="D215" s="166"/>
      <c r="E215" s="249"/>
      <c r="F215" s="167"/>
      <c r="G215" s="167"/>
      <c r="H215" s="250"/>
      <c r="I215" s="155"/>
      <c r="J215" s="252"/>
      <c r="K215" s="252"/>
      <c r="L215" s="252"/>
      <c r="M215" s="253"/>
      <c r="N215" s="252"/>
      <c r="O215" s="254"/>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J215" s="563"/>
      <c r="CK215" s="563"/>
      <c r="CL215" s="563"/>
      <c r="CM215" s="563"/>
      <c r="CN215" s="563"/>
      <c r="CO215" s="563"/>
      <c r="CP215" s="563"/>
      <c r="CQ215" s="563"/>
      <c r="CR215" s="563"/>
      <c r="CS215" s="563"/>
      <c r="CT215" s="563"/>
      <c r="CU215" s="563"/>
      <c r="CV215" s="563"/>
      <c r="CW215" s="563"/>
      <c r="CX215" s="563"/>
    </row>
    <row r="216" spans="1:102" s="315" customFormat="1" ht="25.5">
      <c r="A216" s="346" t="s">
        <v>299</v>
      </c>
      <c r="B216" s="346"/>
      <c r="C216" s="346"/>
      <c r="D216" s="271"/>
      <c r="E216" s="271"/>
      <c r="F216" s="271"/>
      <c r="G216" s="271"/>
      <c r="Q216" s="316" t="s">
        <v>57</v>
      </c>
      <c r="R216" s="317" t="s">
        <v>52</v>
      </c>
      <c r="S216" s="318" t="e">
        <f>#REF!</f>
        <v>#REF!</v>
      </c>
      <c r="T216" s="319">
        <v>1</v>
      </c>
      <c r="U216" s="319">
        <v>0</v>
      </c>
      <c r="V216" s="319">
        <v>0</v>
      </c>
      <c r="X216" s="320" t="e">
        <f>#REF!</f>
        <v>#REF!</v>
      </c>
      <c r="Y216" s="321">
        <v>1</v>
      </c>
      <c r="Z216" s="321">
        <v>1</v>
      </c>
      <c r="AA216" s="322" t="e">
        <f>X216*Y216*Z216</f>
        <v>#REF!</v>
      </c>
      <c r="AB216" s="323" t="e">
        <f>VLOOKUP(S216,Personnel_Cost,7)</f>
        <v>#REF!</v>
      </c>
      <c r="AC216" s="323" t="e">
        <f>AA216*AB216</f>
        <v>#REF!</v>
      </c>
      <c r="AD216" s="323" t="e">
        <f>AC216*T216</f>
        <v>#REF!</v>
      </c>
      <c r="AE216" s="323" t="e">
        <f>AC216*U216</f>
        <v>#REF!</v>
      </c>
      <c r="AF216" s="323" t="e">
        <f>AC216*V216</f>
        <v>#REF!</v>
      </c>
      <c r="AG216" s="323">
        <v>0</v>
      </c>
      <c r="AH216" s="323">
        <v>0</v>
      </c>
      <c r="AI216" s="323">
        <v>0</v>
      </c>
      <c r="AL216" s="564"/>
      <c r="AM216" s="564"/>
      <c r="AN216" s="564"/>
      <c r="AO216" s="564"/>
      <c r="AP216" s="564"/>
      <c r="AQ216" s="564"/>
      <c r="AR216" s="564"/>
      <c r="AS216" s="564"/>
      <c r="AT216" s="564"/>
      <c r="AU216" s="564"/>
      <c r="AV216" s="564"/>
      <c r="AW216" s="564"/>
      <c r="AX216" s="564"/>
      <c r="AY216" s="564"/>
      <c r="AZ216" s="564"/>
      <c r="BA216" s="564"/>
      <c r="BB216" s="564"/>
      <c r="BC216" s="564"/>
      <c r="BD216" s="564"/>
      <c r="BE216" s="564"/>
      <c r="BF216" s="564"/>
      <c r="BG216" s="564"/>
      <c r="BH216" s="564"/>
      <c r="BI216" s="564"/>
      <c r="BJ216" s="564"/>
      <c r="BK216" s="564"/>
      <c r="BL216" s="564"/>
      <c r="BM216" s="564"/>
      <c r="BN216" s="564"/>
      <c r="BO216" s="564"/>
      <c r="BP216" s="564"/>
      <c r="BQ216" s="564"/>
      <c r="BR216" s="564"/>
      <c r="BS216" s="564"/>
      <c r="BT216" s="564"/>
      <c r="BU216" s="564"/>
      <c r="BV216" s="564"/>
      <c r="BW216" s="564"/>
      <c r="BX216" s="564"/>
      <c r="BY216" s="564"/>
      <c r="BZ216" s="564"/>
      <c r="CA216" s="564"/>
      <c r="CB216" s="564"/>
      <c r="CC216" s="564"/>
      <c r="CD216" s="564"/>
      <c r="CE216" s="564"/>
      <c r="CF216" s="564"/>
      <c r="CG216" s="564"/>
      <c r="CH216" s="564"/>
      <c r="CI216" s="564"/>
      <c r="CJ216" s="564"/>
      <c r="CK216" s="564"/>
      <c r="CL216" s="564"/>
      <c r="CM216" s="564"/>
      <c r="CN216" s="564"/>
      <c r="CO216" s="564"/>
      <c r="CP216" s="564"/>
      <c r="CQ216" s="564"/>
      <c r="CR216" s="564"/>
      <c r="CS216" s="564"/>
      <c r="CT216" s="564"/>
      <c r="CU216" s="564"/>
      <c r="CV216" s="564"/>
      <c r="CW216" s="564"/>
      <c r="CX216" s="564"/>
    </row>
    <row r="217" spans="1:102" ht="12.75">
      <c r="A217" s="243" t="str">
        <f>A$7</f>
        <v>CONSUMABLES</v>
      </c>
      <c r="B217" s="268"/>
      <c r="C217" s="347">
        <f>SUM(K132)</f>
        <v>0</v>
      </c>
      <c r="D217" s="166"/>
      <c r="E217" s="249"/>
      <c r="F217" s="167"/>
      <c r="G217" s="167"/>
      <c r="H217" s="250"/>
      <c r="I217" s="155"/>
      <c r="J217" s="252"/>
      <c r="K217" s="252"/>
      <c r="L217" s="252"/>
      <c r="M217" s="253"/>
      <c r="N217" s="252"/>
      <c r="O217" s="254"/>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J217" s="563"/>
      <c r="CK217" s="563"/>
      <c r="CL217" s="563"/>
      <c r="CM217" s="563"/>
      <c r="CN217" s="563"/>
      <c r="CO217" s="563"/>
      <c r="CP217" s="563"/>
      <c r="CQ217" s="563"/>
      <c r="CR217" s="563"/>
      <c r="CS217" s="563"/>
      <c r="CT217" s="563"/>
      <c r="CU217" s="563"/>
      <c r="CV217" s="563"/>
      <c r="CW217" s="563"/>
      <c r="CX217" s="563"/>
    </row>
    <row r="218" spans="1:102" ht="12.75">
      <c r="A218" s="243" t="str">
        <f>A$140</f>
        <v>NON-CONSUMABLE SUPPLIES</v>
      </c>
      <c r="B218" s="268"/>
      <c r="C218" s="347">
        <f>(SUM(K161)+C219+C220)/500</f>
        <v>0.08530874316939889</v>
      </c>
      <c r="D218" s="166"/>
      <c r="E218" s="249"/>
      <c r="F218" s="167"/>
      <c r="G218" s="167"/>
      <c r="H218" s="250"/>
      <c r="I218" s="155"/>
      <c r="J218" s="252"/>
      <c r="K218" s="252"/>
      <c r="L218" s="252"/>
      <c r="M218" s="253"/>
      <c r="N218" s="252"/>
      <c r="O218" s="254"/>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G218" s="563"/>
      <c r="BH218" s="563"/>
      <c r="BI218" s="563"/>
      <c r="BJ218" s="563"/>
      <c r="BK218" s="563"/>
      <c r="BL218" s="563"/>
      <c r="BM218" s="563"/>
      <c r="BN218" s="563"/>
      <c r="BO218" s="563"/>
      <c r="BP218" s="563"/>
      <c r="BQ218" s="563"/>
      <c r="BR218" s="563"/>
      <c r="BS218" s="563"/>
      <c r="BT218" s="563"/>
      <c r="BU218" s="563"/>
      <c r="BV218" s="563"/>
      <c r="BW218" s="563"/>
      <c r="BX218" s="563"/>
      <c r="BY218" s="563"/>
      <c r="BZ218" s="563"/>
      <c r="CA218" s="563"/>
      <c r="CB218" s="563"/>
      <c r="CC218" s="563"/>
      <c r="CD218" s="563"/>
      <c r="CE218" s="563"/>
      <c r="CF218" s="563"/>
      <c r="CG218" s="563"/>
      <c r="CH218" s="563"/>
      <c r="CI218" s="563"/>
      <c r="CJ218" s="563"/>
      <c r="CK218" s="563"/>
      <c r="CL218" s="563"/>
      <c r="CM218" s="563"/>
      <c r="CN218" s="563"/>
      <c r="CO218" s="563"/>
      <c r="CP218" s="563"/>
      <c r="CQ218" s="563"/>
      <c r="CR218" s="563"/>
      <c r="CS218" s="563"/>
      <c r="CT218" s="563"/>
      <c r="CU218" s="563"/>
      <c r="CV218" s="563"/>
      <c r="CW218" s="563"/>
      <c r="CX218" s="563"/>
    </row>
    <row r="219" spans="1:102" ht="12.75">
      <c r="A219" s="341" t="str">
        <f>A$166</f>
        <v>Circumcision Surgical Tray</v>
      </c>
      <c r="B219" s="268"/>
      <c r="C219" s="347">
        <f>SUM(K167:K176)</f>
        <v>30.286885245901637</v>
      </c>
      <c r="D219" s="166"/>
      <c r="E219" s="249"/>
      <c r="F219" s="167"/>
      <c r="G219" s="167"/>
      <c r="H219" s="250"/>
      <c r="I219" s="155"/>
      <c r="J219" s="252"/>
      <c r="K219" s="252"/>
      <c r="L219" s="252"/>
      <c r="M219" s="253"/>
      <c r="N219" s="252"/>
      <c r="O219" s="254"/>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J219" s="563"/>
      <c r="CK219" s="563"/>
      <c r="CL219" s="563"/>
      <c r="CM219" s="563"/>
      <c r="CN219" s="563"/>
      <c r="CO219" s="563"/>
      <c r="CP219" s="563"/>
      <c r="CQ219" s="563"/>
      <c r="CR219" s="563"/>
      <c r="CS219" s="563"/>
      <c r="CT219" s="563"/>
      <c r="CU219" s="563"/>
      <c r="CV219" s="563"/>
      <c r="CW219" s="563"/>
      <c r="CX219" s="563"/>
    </row>
    <row r="220" spans="1:102" ht="12.75">
      <c r="A220" s="341" t="str">
        <f>A$177</f>
        <v>Emergency Tray</v>
      </c>
      <c r="B220" s="268"/>
      <c r="C220" s="347">
        <f>SUM(K178:K185)</f>
        <v>12.367486338797814</v>
      </c>
      <c r="D220" s="166"/>
      <c r="E220" s="249"/>
      <c r="F220" s="167"/>
      <c r="G220" s="167"/>
      <c r="H220" s="250"/>
      <c r="I220" s="155"/>
      <c r="J220" s="252"/>
      <c r="K220" s="252"/>
      <c r="L220" s="252"/>
      <c r="M220" s="253"/>
      <c r="N220" s="252"/>
      <c r="O220" s="254"/>
      <c r="AL220" s="563"/>
      <c r="AM220" s="563"/>
      <c r="AN220" s="563"/>
      <c r="AO220" s="563"/>
      <c r="AP220" s="563"/>
      <c r="AQ220" s="563"/>
      <c r="AR220" s="563"/>
      <c r="AS220" s="563"/>
      <c r="AT220" s="563"/>
      <c r="AU220" s="563"/>
      <c r="AV220" s="563"/>
      <c r="AW220" s="563"/>
      <c r="AX220" s="563"/>
      <c r="AY220" s="563"/>
      <c r="AZ220" s="563"/>
      <c r="BA220" s="563"/>
      <c r="BB220" s="563"/>
      <c r="BC220" s="563"/>
      <c r="BD220" s="563"/>
      <c r="BE220" s="563"/>
      <c r="BF220" s="563"/>
      <c r="BG220" s="563"/>
      <c r="BH220" s="563"/>
      <c r="BI220" s="563"/>
      <c r="BJ220" s="563"/>
      <c r="BK220" s="563"/>
      <c r="BL220" s="563"/>
      <c r="BM220" s="563"/>
      <c r="BN220" s="563"/>
      <c r="BO220" s="563"/>
      <c r="BP220" s="563"/>
      <c r="BQ220" s="563"/>
      <c r="BR220" s="563"/>
      <c r="BS220" s="563"/>
      <c r="BT220" s="563"/>
      <c r="BU220" s="563"/>
      <c r="BV220" s="563"/>
      <c r="BW220" s="563"/>
      <c r="BX220" s="563"/>
      <c r="BY220" s="563"/>
      <c r="BZ220" s="563"/>
      <c r="CA220" s="563"/>
      <c r="CB220" s="563"/>
      <c r="CC220" s="563"/>
      <c r="CD220" s="563"/>
      <c r="CE220" s="563"/>
      <c r="CF220" s="563"/>
      <c r="CG220" s="563"/>
      <c r="CH220" s="563"/>
      <c r="CI220" s="563"/>
      <c r="CJ220" s="563"/>
      <c r="CK220" s="563"/>
      <c r="CL220" s="563"/>
      <c r="CM220" s="563"/>
      <c r="CN220" s="563"/>
      <c r="CO220" s="563"/>
      <c r="CP220" s="563"/>
      <c r="CQ220" s="563"/>
      <c r="CR220" s="563"/>
      <c r="CS220" s="563"/>
      <c r="CT220" s="563"/>
      <c r="CU220" s="563"/>
      <c r="CV220" s="563"/>
      <c r="CW220" s="563"/>
      <c r="CX220" s="563"/>
    </row>
    <row r="221" spans="1:102" ht="12.75">
      <c r="A221" s="243" t="s">
        <v>162</v>
      </c>
      <c r="B221" s="268"/>
      <c r="C221" s="347">
        <f>SUM(C217:C218)</f>
        <v>0.08530874316939889</v>
      </c>
      <c r="D221" s="166"/>
      <c r="E221" s="249"/>
      <c r="F221" s="167"/>
      <c r="G221" s="167"/>
      <c r="H221" s="250"/>
      <c r="I221" s="155"/>
      <c r="J221" s="252"/>
      <c r="K221" s="252"/>
      <c r="L221" s="252"/>
      <c r="M221" s="253"/>
      <c r="N221" s="252"/>
      <c r="O221" s="254"/>
      <c r="AL221" s="563"/>
      <c r="AM221" s="563"/>
      <c r="AN221" s="563"/>
      <c r="AO221" s="563"/>
      <c r="AP221" s="563"/>
      <c r="AQ221" s="563"/>
      <c r="AR221" s="563"/>
      <c r="AS221" s="563"/>
      <c r="AT221" s="563"/>
      <c r="AU221" s="563"/>
      <c r="AV221" s="563"/>
      <c r="AW221" s="563"/>
      <c r="AX221" s="563"/>
      <c r="AY221" s="563"/>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3"/>
      <c r="CE221" s="563"/>
      <c r="CF221" s="563"/>
      <c r="CG221" s="563"/>
      <c r="CH221" s="563"/>
      <c r="CI221" s="563"/>
      <c r="CJ221" s="563"/>
      <c r="CK221" s="563"/>
      <c r="CL221" s="563"/>
      <c r="CM221" s="563"/>
      <c r="CN221" s="563"/>
      <c r="CO221" s="563"/>
      <c r="CP221" s="563"/>
      <c r="CQ221" s="563"/>
      <c r="CR221" s="563"/>
      <c r="CS221" s="563"/>
      <c r="CT221" s="563"/>
      <c r="CU221" s="563"/>
      <c r="CV221" s="563"/>
      <c r="CW221" s="563"/>
      <c r="CX221" s="563"/>
    </row>
    <row r="222" spans="38:102" ht="12.75">
      <c r="AL222" s="563"/>
      <c r="AM222" s="563"/>
      <c r="AN222" s="563"/>
      <c r="AO222" s="563"/>
      <c r="AP222" s="563"/>
      <c r="AQ222" s="563"/>
      <c r="AR222" s="563"/>
      <c r="AS222" s="563"/>
      <c r="AT222" s="563"/>
      <c r="AU222" s="563"/>
      <c r="AV222" s="563"/>
      <c r="AW222" s="563"/>
      <c r="AX222" s="563"/>
      <c r="AY222" s="563"/>
      <c r="AZ222" s="563"/>
      <c r="BA222" s="563"/>
      <c r="BB222" s="563"/>
      <c r="BC222" s="563"/>
      <c r="BD222" s="563"/>
      <c r="BE222" s="563"/>
      <c r="BF222" s="563"/>
      <c r="BG222" s="563"/>
      <c r="BH222" s="563"/>
      <c r="BI222" s="563"/>
      <c r="BJ222" s="563"/>
      <c r="BK222" s="563"/>
      <c r="BL222" s="563"/>
      <c r="BM222" s="563"/>
      <c r="BN222" s="563"/>
      <c r="BO222" s="563"/>
      <c r="BP222" s="563"/>
      <c r="BQ222" s="563"/>
      <c r="BR222" s="563"/>
      <c r="BS222" s="563"/>
      <c r="BT222" s="563"/>
      <c r="BU222" s="563"/>
      <c r="BV222" s="563"/>
      <c r="BW222" s="563"/>
      <c r="BX222" s="563"/>
      <c r="BY222" s="563"/>
      <c r="BZ222" s="563"/>
      <c r="CA222" s="563"/>
      <c r="CB222" s="563"/>
      <c r="CC222" s="563"/>
      <c r="CD222" s="563"/>
      <c r="CE222" s="563"/>
      <c r="CF222" s="563"/>
      <c r="CG222" s="563"/>
      <c r="CH222" s="563"/>
      <c r="CI222" s="563"/>
      <c r="CJ222" s="563"/>
      <c r="CK222" s="563"/>
      <c r="CL222" s="563"/>
      <c r="CM222" s="563"/>
      <c r="CN222" s="563"/>
      <c r="CO222" s="563"/>
      <c r="CP222" s="563"/>
      <c r="CQ222" s="563"/>
      <c r="CR222" s="563"/>
      <c r="CS222" s="563"/>
      <c r="CT222" s="563"/>
      <c r="CU222" s="563"/>
      <c r="CV222" s="563"/>
      <c r="CW222" s="563"/>
      <c r="CX222" s="563"/>
    </row>
    <row r="223" spans="1:102" s="315" customFormat="1" ht="25.5">
      <c r="A223" s="346" t="s">
        <v>300</v>
      </c>
      <c r="B223" s="346"/>
      <c r="C223" s="346"/>
      <c r="D223" s="271"/>
      <c r="E223" s="271"/>
      <c r="F223" s="271"/>
      <c r="G223" s="271"/>
      <c r="Q223" s="316" t="s">
        <v>57</v>
      </c>
      <c r="R223" s="317" t="s">
        <v>52</v>
      </c>
      <c r="S223" s="318" t="e">
        <f>#REF!</f>
        <v>#REF!</v>
      </c>
      <c r="T223" s="319">
        <v>1</v>
      </c>
      <c r="U223" s="319">
        <v>0</v>
      </c>
      <c r="V223" s="319">
        <v>0</v>
      </c>
      <c r="X223" s="320" t="e">
        <f>#REF!</f>
        <v>#REF!</v>
      </c>
      <c r="Y223" s="321">
        <v>1</v>
      </c>
      <c r="Z223" s="321">
        <v>1</v>
      </c>
      <c r="AA223" s="322" t="e">
        <f>X223*Y223*Z223</f>
        <v>#REF!</v>
      </c>
      <c r="AB223" s="323" t="e">
        <f>VLOOKUP(S223,Personnel_Cost,7)</f>
        <v>#REF!</v>
      </c>
      <c r="AC223" s="323" t="e">
        <f>AA223*AB223</f>
        <v>#REF!</v>
      </c>
      <c r="AD223" s="323" t="e">
        <f>AC223*T223</f>
        <v>#REF!</v>
      </c>
      <c r="AE223" s="323" t="e">
        <f>AC223*U223</f>
        <v>#REF!</v>
      </c>
      <c r="AF223" s="323" t="e">
        <f>AC223*V223</f>
        <v>#REF!</v>
      </c>
      <c r="AG223" s="323">
        <v>0</v>
      </c>
      <c r="AH223" s="323">
        <v>0</v>
      </c>
      <c r="AI223" s="323">
        <v>0</v>
      </c>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c r="CH223" s="564"/>
      <c r="CI223" s="564"/>
      <c r="CJ223" s="564"/>
      <c r="CK223" s="564"/>
      <c r="CL223" s="564"/>
      <c r="CM223" s="564"/>
      <c r="CN223" s="564"/>
      <c r="CO223" s="564"/>
      <c r="CP223" s="564"/>
      <c r="CQ223" s="564"/>
      <c r="CR223" s="564"/>
      <c r="CS223" s="564"/>
      <c r="CT223" s="564"/>
      <c r="CU223" s="564"/>
      <c r="CV223" s="564"/>
      <c r="CW223" s="564"/>
      <c r="CX223" s="564"/>
    </row>
    <row r="224" spans="1:102" ht="12.75">
      <c r="A224" s="243" t="str">
        <f>A$7</f>
        <v>CONSUMABLES</v>
      </c>
      <c r="B224" s="268"/>
      <c r="C224" s="347">
        <f>SUM(K134)</f>
        <v>0</v>
      </c>
      <c r="D224" s="166"/>
      <c r="E224" s="249"/>
      <c r="F224" s="167"/>
      <c r="G224" s="167"/>
      <c r="H224" s="250"/>
      <c r="I224" s="155"/>
      <c r="J224" s="252"/>
      <c r="K224" s="252"/>
      <c r="L224" s="252"/>
      <c r="M224" s="253"/>
      <c r="N224" s="252"/>
      <c r="O224" s="254"/>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3"/>
      <c r="BG224" s="563"/>
      <c r="BH224" s="563"/>
      <c r="BI224" s="563"/>
      <c r="BJ224" s="563"/>
      <c r="BK224" s="563"/>
      <c r="BL224" s="563"/>
      <c r="BM224" s="563"/>
      <c r="BN224" s="563"/>
      <c r="BO224" s="563"/>
      <c r="BP224" s="563"/>
      <c r="BQ224" s="563"/>
      <c r="BR224" s="563"/>
      <c r="BS224" s="563"/>
      <c r="BT224" s="563"/>
      <c r="BU224" s="563"/>
      <c r="BV224" s="563"/>
      <c r="BW224" s="563"/>
      <c r="BX224" s="563"/>
      <c r="BY224" s="563"/>
      <c r="BZ224" s="563"/>
      <c r="CA224" s="563"/>
      <c r="CB224" s="563"/>
      <c r="CC224" s="563"/>
      <c r="CD224" s="563"/>
      <c r="CE224" s="563"/>
      <c r="CF224" s="563"/>
      <c r="CG224" s="563"/>
      <c r="CH224" s="563"/>
      <c r="CI224" s="563"/>
      <c r="CJ224" s="563"/>
      <c r="CK224" s="563"/>
      <c r="CL224" s="563"/>
      <c r="CM224" s="563"/>
      <c r="CN224" s="563"/>
      <c r="CO224" s="563"/>
      <c r="CP224" s="563"/>
      <c r="CQ224" s="563"/>
      <c r="CR224" s="563"/>
      <c r="CS224" s="563"/>
      <c r="CT224" s="563"/>
      <c r="CU224" s="563"/>
      <c r="CV224" s="563"/>
      <c r="CW224" s="563"/>
      <c r="CX224" s="563"/>
    </row>
    <row r="225" spans="1:102" ht="12.75">
      <c r="A225" s="243" t="str">
        <f>A$140</f>
        <v>NON-CONSUMABLE SUPPLIES</v>
      </c>
      <c r="B225" s="268"/>
      <c r="C225" s="347">
        <f>(SUM(K163)+C226+C227)/500</f>
        <v>0.016325136612021857</v>
      </c>
      <c r="D225" s="166"/>
      <c r="E225" s="249"/>
      <c r="F225" s="167"/>
      <c r="G225" s="167"/>
      <c r="H225" s="250"/>
      <c r="I225" s="155"/>
      <c r="J225" s="252"/>
      <c r="K225" s="252"/>
      <c r="L225" s="252"/>
      <c r="M225" s="253"/>
      <c r="N225" s="252"/>
      <c r="O225" s="254"/>
      <c r="AL225" s="563"/>
      <c r="AM225" s="563"/>
      <c r="AN225" s="563"/>
      <c r="AO225" s="563"/>
      <c r="AP225" s="563"/>
      <c r="AQ225" s="563"/>
      <c r="AR225" s="563"/>
      <c r="AS225" s="563"/>
      <c r="AT225" s="563"/>
      <c r="AU225" s="563"/>
      <c r="AV225" s="563"/>
      <c r="AW225" s="563"/>
      <c r="AX225" s="563"/>
      <c r="AY225" s="563"/>
      <c r="AZ225" s="563"/>
      <c r="BA225" s="563"/>
      <c r="BB225" s="563"/>
      <c r="BC225" s="563"/>
      <c r="BD225" s="563"/>
      <c r="BE225" s="563"/>
      <c r="BF225" s="563"/>
      <c r="BG225" s="563"/>
      <c r="BH225" s="563"/>
      <c r="BI225" s="563"/>
      <c r="BJ225" s="563"/>
      <c r="BK225" s="563"/>
      <c r="BL225" s="563"/>
      <c r="BM225" s="563"/>
      <c r="BN225" s="563"/>
      <c r="BO225" s="563"/>
      <c r="BP225" s="563"/>
      <c r="BQ225" s="563"/>
      <c r="BR225" s="563"/>
      <c r="BS225" s="563"/>
      <c r="BT225" s="563"/>
      <c r="BU225" s="563"/>
      <c r="BV225" s="563"/>
      <c r="BW225" s="563"/>
      <c r="BX225" s="563"/>
      <c r="BY225" s="563"/>
      <c r="BZ225" s="563"/>
      <c r="CA225" s="563"/>
      <c r="CB225" s="563"/>
      <c r="CC225" s="563"/>
      <c r="CD225" s="563"/>
      <c r="CE225" s="563"/>
      <c r="CF225" s="563"/>
      <c r="CG225" s="563"/>
      <c r="CH225" s="563"/>
      <c r="CI225" s="563"/>
      <c r="CJ225" s="563"/>
      <c r="CK225" s="563"/>
      <c r="CL225" s="563"/>
      <c r="CM225" s="563"/>
      <c r="CN225" s="563"/>
      <c r="CO225" s="563"/>
      <c r="CP225" s="563"/>
      <c r="CQ225" s="563"/>
      <c r="CR225" s="563"/>
      <c r="CS225" s="563"/>
      <c r="CT225" s="563"/>
      <c r="CU225" s="563"/>
      <c r="CV225" s="563"/>
      <c r="CW225" s="563"/>
      <c r="CX225" s="563"/>
    </row>
    <row r="226" spans="1:102" ht="12.75">
      <c r="A226" s="341" t="str">
        <f>A$166</f>
        <v>Circumcision Surgical Tray</v>
      </c>
      <c r="B226" s="268"/>
      <c r="C226" s="347">
        <f>SUM(K181:K190)</f>
        <v>8.162568306010929</v>
      </c>
      <c r="D226" s="166"/>
      <c r="E226" s="249"/>
      <c r="F226" s="167"/>
      <c r="G226" s="167"/>
      <c r="H226" s="250"/>
      <c r="I226" s="155"/>
      <c r="J226" s="252"/>
      <c r="K226" s="252"/>
      <c r="L226" s="252"/>
      <c r="M226" s="253"/>
      <c r="N226" s="252"/>
      <c r="O226" s="254"/>
      <c r="AL226" s="563"/>
      <c r="AM226" s="563"/>
      <c r="AN226" s="563"/>
      <c r="AO226" s="563"/>
      <c r="AP226" s="563"/>
      <c r="AQ226" s="563"/>
      <c r="AR226" s="563"/>
      <c r="AS226" s="563"/>
      <c r="AT226" s="563"/>
      <c r="AU226" s="563"/>
      <c r="AV226" s="563"/>
      <c r="AW226" s="563"/>
      <c r="AX226" s="563"/>
      <c r="AY226" s="563"/>
      <c r="AZ226" s="563"/>
      <c r="BA226" s="563"/>
      <c r="BB226" s="563"/>
      <c r="BC226" s="563"/>
      <c r="BD226" s="563"/>
      <c r="BE226" s="563"/>
      <c r="BF226" s="563"/>
      <c r="BG226" s="563"/>
      <c r="BH226" s="563"/>
      <c r="BI226" s="563"/>
      <c r="BJ226" s="563"/>
      <c r="BK226" s="563"/>
      <c r="BL226" s="563"/>
      <c r="BM226" s="563"/>
      <c r="BN226" s="563"/>
      <c r="BO226" s="563"/>
      <c r="BP226" s="563"/>
      <c r="BQ226" s="563"/>
      <c r="BR226" s="563"/>
      <c r="BS226" s="563"/>
      <c r="BT226" s="563"/>
      <c r="BU226" s="563"/>
      <c r="BV226" s="563"/>
      <c r="BW226" s="563"/>
      <c r="BX226" s="563"/>
      <c r="BY226" s="563"/>
      <c r="BZ226" s="563"/>
      <c r="CA226" s="563"/>
      <c r="CB226" s="563"/>
      <c r="CC226" s="563"/>
      <c r="CD226" s="563"/>
      <c r="CE226" s="563"/>
      <c r="CF226" s="563"/>
      <c r="CG226" s="563"/>
      <c r="CH226" s="563"/>
      <c r="CI226" s="563"/>
      <c r="CJ226" s="563"/>
      <c r="CK226" s="563"/>
      <c r="CL226" s="563"/>
      <c r="CM226" s="563"/>
      <c r="CN226" s="563"/>
      <c r="CO226" s="563"/>
      <c r="CP226" s="563"/>
      <c r="CQ226" s="563"/>
      <c r="CR226" s="563"/>
      <c r="CS226" s="563"/>
      <c r="CT226" s="563"/>
      <c r="CU226" s="563"/>
      <c r="CV226" s="563"/>
      <c r="CW226" s="563"/>
      <c r="CX226" s="563"/>
    </row>
    <row r="227" spans="1:102" ht="12.75">
      <c r="A227" s="341" t="str">
        <f>A$177</f>
        <v>Emergency Tray</v>
      </c>
      <c r="B227" s="268"/>
      <c r="C227" s="347">
        <f>SUM(K192:K206)</f>
        <v>0</v>
      </c>
      <c r="D227" s="166"/>
      <c r="E227" s="249"/>
      <c r="F227" s="167"/>
      <c r="G227" s="167"/>
      <c r="H227" s="250"/>
      <c r="I227" s="155"/>
      <c r="J227" s="252"/>
      <c r="K227" s="252"/>
      <c r="L227" s="252"/>
      <c r="M227" s="253"/>
      <c r="N227" s="252"/>
      <c r="O227" s="254"/>
      <c r="AL227" s="563"/>
      <c r="AM227" s="563"/>
      <c r="AN227" s="563"/>
      <c r="AO227" s="563"/>
      <c r="AP227" s="563"/>
      <c r="AQ227" s="563"/>
      <c r="AR227" s="563"/>
      <c r="AS227" s="563"/>
      <c r="AT227" s="563"/>
      <c r="AU227" s="563"/>
      <c r="AV227" s="563"/>
      <c r="AW227" s="563"/>
      <c r="AX227" s="563"/>
      <c r="AY227" s="563"/>
      <c r="AZ227" s="563"/>
      <c r="BA227" s="563"/>
      <c r="BB227" s="563"/>
      <c r="BC227" s="563"/>
      <c r="BD227" s="563"/>
      <c r="BE227" s="563"/>
      <c r="BF227" s="563"/>
      <c r="BG227" s="563"/>
      <c r="BH227" s="563"/>
      <c r="BI227" s="563"/>
      <c r="BJ227" s="563"/>
      <c r="BK227" s="563"/>
      <c r="BL227" s="563"/>
      <c r="BM227" s="563"/>
      <c r="BN227" s="563"/>
      <c r="BO227" s="563"/>
      <c r="BP227" s="563"/>
      <c r="BQ227" s="563"/>
      <c r="BR227" s="563"/>
      <c r="BS227" s="563"/>
      <c r="BT227" s="563"/>
      <c r="BU227" s="563"/>
      <c r="BV227" s="563"/>
      <c r="BW227" s="563"/>
      <c r="BX227" s="563"/>
      <c r="BY227" s="563"/>
      <c r="BZ227" s="563"/>
      <c r="CA227" s="563"/>
      <c r="CB227" s="563"/>
      <c r="CC227" s="563"/>
      <c r="CD227" s="563"/>
      <c r="CE227" s="563"/>
      <c r="CF227" s="563"/>
      <c r="CG227" s="563"/>
      <c r="CH227" s="563"/>
      <c r="CI227" s="563"/>
      <c r="CJ227" s="563"/>
      <c r="CK227" s="563"/>
      <c r="CL227" s="563"/>
      <c r="CM227" s="563"/>
      <c r="CN227" s="563"/>
      <c r="CO227" s="563"/>
      <c r="CP227" s="563"/>
      <c r="CQ227" s="563"/>
      <c r="CR227" s="563"/>
      <c r="CS227" s="563"/>
      <c r="CT227" s="563"/>
      <c r="CU227" s="563"/>
      <c r="CV227" s="563"/>
      <c r="CW227" s="563"/>
      <c r="CX227" s="563"/>
    </row>
    <row r="228" spans="1:102" ht="12.75">
      <c r="A228" s="243" t="s">
        <v>162</v>
      </c>
      <c r="B228" s="268"/>
      <c r="C228" s="347">
        <f>SUM(C224:C225)</f>
        <v>0.016325136612021857</v>
      </c>
      <c r="D228" s="166"/>
      <c r="E228" s="249"/>
      <c r="F228" s="167"/>
      <c r="G228" s="167"/>
      <c r="H228" s="250"/>
      <c r="I228" s="155"/>
      <c r="J228" s="252"/>
      <c r="K228" s="252"/>
      <c r="L228" s="252"/>
      <c r="M228" s="253"/>
      <c r="N228" s="252"/>
      <c r="O228" s="254"/>
      <c r="AL228" s="563"/>
      <c r="AM228" s="563"/>
      <c r="AN228" s="563"/>
      <c r="AO228" s="563"/>
      <c r="AP228" s="563"/>
      <c r="AQ228" s="563"/>
      <c r="AR228" s="563"/>
      <c r="AS228" s="563"/>
      <c r="AT228" s="563"/>
      <c r="AU228" s="563"/>
      <c r="AV228" s="563"/>
      <c r="AW228" s="563"/>
      <c r="AX228" s="563"/>
      <c r="AY228" s="563"/>
      <c r="AZ228" s="563"/>
      <c r="BA228" s="563"/>
      <c r="BB228" s="563"/>
      <c r="BC228" s="563"/>
      <c r="BD228" s="563"/>
      <c r="BE228" s="563"/>
      <c r="BF228" s="563"/>
      <c r="BG228" s="563"/>
      <c r="BH228" s="563"/>
      <c r="BI228" s="563"/>
      <c r="BJ228" s="563"/>
      <c r="BK228" s="563"/>
      <c r="BL228" s="563"/>
      <c r="BM228" s="563"/>
      <c r="BN228" s="563"/>
      <c r="BO228" s="563"/>
      <c r="BP228" s="563"/>
      <c r="BQ228" s="563"/>
      <c r="BR228" s="563"/>
      <c r="BS228" s="563"/>
      <c r="BT228" s="563"/>
      <c r="BU228" s="563"/>
      <c r="BV228" s="563"/>
      <c r="BW228" s="563"/>
      <c r="BX228" s="563"/>
      <c r="BY228" s="563"/>
      <c r="BZ228" s="563"/>
      <c r="CA228" s="563"/>
      <c r="CB228" s="563"/>
      <c r="CC228" s="563"/>
      <c r="CD228" s="563"/>
      <c r="CE228" s="563"/>
      <c r="CF228" s="563"/>
      <c r="CG228" s="563"/>
      <c r="CH228" s="563"/>
      <c r="CI228" s="563"/>
      <c r="CJ228" s="563"/>
      <c r="CK228" s="563"/>
      <c r="CL228" s="563"/>
      <c r="CM228" s="563"/>
      <c r="CN228" s="563"/>
      <c r="CO228" s="563"/>
      <c r="CP228" s="563"/>
      <c r="CQ228" s="563"/>
      <c r="CR228" s="563"/>
      <c r="CS228" s="563"/>
      <c r="CT228" s="563"/>
      <c r="CU228" s="563"/>
      <c r="CV228" s="563"/>
      <c r="CW228" s="563"/>
      <c r="CX228" s="563"/>
    </row>
  </sheetData>
  <sheetProtection/>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35" activePane="bottomRight" state="frozen"/>
      <selection pane="topLeft" activeCell="F4" sqref="F4"/>
      <selection pane="topRight" activeCell="F4" sqref="F4"/>
      <selection pane="bottomLeft" activeCell="F4" sqref="F4"/>
      <selection pane="bottomRight" activeCell="G48" sqref="G48"/>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72" t="s">
        <v>394</v>
      </c>
      <c r="C1" s="676"/>
      <c r="D1" s="718" t="s">
        <v>342</v>
      </c>
      <c r="E1" s="719"/>
      <c r="F1" s="719"/>
      <c r="G1" s="677"/>
      <c r="H1" s="678"/>
      <c r="I1" s="677"/>
      <c r="J1" s="677"/>
      <c r="K1" s="677"/>
      <c r="L1" s="677"/>
      <c r="M1" s="677"/>
    </row>
    <row r="2" spans="2:13" s="293" customFormat="1" ht="12.75" customHeight="1">
      <c r="B2" s="721" t="s">
        <v>106</v>
      </c>
      <c r="C2" s="721"/>
      <c r="D2" s="407"/>
      <c r="E2" s="291"/>
      <c r="F2" s="291"/>
      <c r="G2" s="291"/>
      <c r="H2" s="292"/>
      <c r="I2" s="291"/>
      <c r="J2" s="291"/>
      <c r="K2" s="291"/>
      <c r="L2" s="291"/>
      <c r="M2" s="291"/>
    </row>
    <row r="3" spans="2:13" s="293" customFormat="1" ht="12.75">
      <c r="B3" s="725" t="s">
        <v>282</v>
      </c>
      <c r="C3" s="725"/>
      <c r="D3" s="407"/>
      <c r="G3" s="291"/>
      <c r="H3" s="292"/>
      <c r="I3" s="291"/>
      <c r="J3" s="291"/>
      <c r="K3" s="291"/>
      <c r="L3" s="291"/>
      <c r="M3" s="291"/>
    </row>
    <row r="4" spans="2:13" s="180" customFormat="1" ht="33.75">
      <c r="B4" s="174" t="s">
        <v>112</v>
      </c>
      <c r="C4" s="175" t="s">
        <v>69</v>
      </c>
      <c r="D4" s="176" t="s">
        <v>70</v>
      </c>
      <c r="E4" s="177" t="s">
        <v>226</v>
      </c>
      <c r="F4" s="177" t="s">
        <v>85</v>
      </c>
      <c r="G4" s="177" t="s">
        <v>283</v>
      </c>
      <c r="H4" s="178" t="s">
        <v>71</v>
      </c>
      <c r="I4" s="177" t="s">
        <v>4</v>
      </c>
      <c r="J4" s="177" t="s">
        <v>72</v>
      </c>
      <c r="K4" s="179"/>
      <c r="L4" s="179"/>
      <c r="M4" s="179"/>
    </row>
    <row r="5" spans="2:10" ht="12.75">
      <c r="B5" s="441" t="s">
        <v>66</v>
      </c>
      <c r="C5" s="442"/>
      <c r="D5" s="443"/>
      <c r="E5" s="444">
        <v>52.71</v>
      </c>
      <c r="F5" s="444"/>
      <c r="G5" s="445">
        <f aca="true" t="shared" si="0" ref="G5:G46">IF(E5&gt;0,E5/Exchange_rate,F5)</f>
        <v>7.200819672131147</v>
      </c>
      <c r="H5" s="446">
        <v>500</v>
      </c>
      <c r="I5" s="447" t="s">
        <v>10</v>
      </c>
      <c r="J5" s="445">
        <f>G5/H5</f>
        <v>0.014401639344262295</v>
      </c>
    </row>
    <row r="6" spans="2:10" ht="12.75">
      <c r="B6" s="448" t="s">
        <v>73</v>
      </c>
      <c r="C6" s="442"/>
      <c r="D6" s="449"/>
      <c r="E6" s="444"/>
      <c r="F6" s="444"/>
      <c r="G6" s="445">
        <f t="shared" si="0"/>
        <v>0</v>
      </c>
      <c r="H6" s="446">
        <v>100</v>
      </c>
      <c r="I6" s="447" t="s">
        <v>10</v>
      </c>
      <c r="J6" s="445">
        <f>G6/H6</f>
        <v>0</v>
      </c>
    </row>
    <row r="7" spans="2:10" ht="12.75">
      <c r="B7" s="450" t="s">
        <v>161</v>
      </c>
      <c r="C7" s="442"/>
      <c r="D7" s="449"/>
      <c r="E7" s="444">
        <v>4.9</v>
      </c>
      <c r="F7" s="444"/>
      <c r="G7" s="445">
        <f t="shared" si="0"/>
        <v>0.6693989071038252</v>
      </c>
      <c r="H7" s="446">
        <v>12</v>
      </c>
      <c r="I7" s="447" t="s">
        <v>10</v>
      </c>
      <c r="J7" s="445">
        <f aca="true" t="shared" si="1" ref="J7:J45">G7/H7</f>
        <v>0.0557832422586521</v>
      </c>
    </row>
    <row r="8" spans="2:17" ht="12.75">
      <c r="B8" s="451" t="s">
        <v>180</v>
      </c>
      <c r="C8" s="442"/>
      <c r="D8" s="449"/>
      <c r="E8" s="444">
        <v>18</v>
      </c>
      <c r="F8" s="444"/>
      <c r="G8" s="445">
        <f t="shared" si="0"/>
        <v>2.459016393442623</v>
      </c>
      <c r="H8" s="446">
        <v>100</v>
      </c>
      <c r="I8" s="447" t="s">
        <v>10</v>
      </c>
      <c r="J8" s="445">
        <f t="shared" si="1"/>
        <v>0.02459016393442623</v>
      </c>
      <c r="Q8" s="182"/>
    </row>
    <row r="9" spans="2:17" ht="12.75">
      <c r="B9" s="441" t="s">
        <v>67</v>
      </c>
      <c r="C9" s="442"/>
      <c r="D9" s="449"/>
      <c r="E9" s="444">
        <v>142.08</v>
      </c>
      <c r="F9" s="444"/>
      <c r="G9" s="445">
        <f t="shared" si="0"/>
        <v>19.40983606557377</v>
      </c>
      <c r="H9" s="446">
        <v>500</v>
      </c>
      <c r="I9" s="447" t="s">
        <v>10</v>
      </c>
      <c r="J9" s="445">
        <f t="shared" si="1"/>
        <v>0.038819672131147544</v>
      </c>
      <c r="N9" s="183"/>
      <c r="Q9" s="182"/>
    </row>
    <row r="10" spans="2:17" ht="12.75">
      <c r="B10" s="451" t="s">
        <v>181</v>
      </c>
      <c r="C10" s="442"/>
      <c r="D10" s="449"/>
      <c r="E10" s="444">
        <v>125.12</v>
      </c>
      <c r="F10" s="444"/>
      <c r="G10" s="445">
        <f t="shared" si="0"/>
        <v>17.092896174863387</v>
      </c>
      <c r="H10" s="446">
        <v>100</v>
      </c>
      <c r="I10" s="447" t="s">
        <v>10</v>
      </c>
      <c r="J10" s="445">
        <f t="shared" si="1"/>
        <v>0.17092896174863387</v>
      </c>
      <c r="P10" s="182"/>
      <c r="Q10" s="182"/>
    </row>
    <row r="11" spans="2:17" ht="12.75">
      <c r="B11" s="448" t="s">
        <v>63</v>
      </c>
      <c r="C11" s="442"/>
      <c r="D11" s="449"/>
      <c r="E11" s="444">
        <v>220</v>
      </c>
      <c r="F11" s="444"/>
      <c r="G11" s="445">
        <f t="shared" si="0"/>
        <v>30.05464480874317</v>
      </c>
      <c r="H11" s="446">
        <v>100</v>
      </c>
      <c r="I11" s="447" t="s">
        <v>10</v>
      </c>
      <c r="J11" s="445">
        <f t="shared" si="1"/>
        <v>0.3005464480874317</v>
      </c>
      <c r="P11" s="182"/>
      <c r="Q11" s="182"/>
    </row>
    <row r="12" spans="2:256" ht="12.75">
      <c r="B12" s="448" t="s">
        <v>62</v>
      </c>
      <c r="C12" s="442"/>
      <c r="D12" s="449"/>
      <c r="E12" s="444">
        <v>6.36</v>
      </c>
      <c r="F12" s="444"/>
      <c r="G12" s="445">
        <f t="shared" si="0"/>
        <v>0.8688524590163934</v>
      </c>
      <c r="H12" s="446">
        <v>100</v>
      </c>
      <c r="I12" s="447" t="s">
        <v>10</v>
      </c>
      <c r="J12" s="445">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48" t="s">
        <v>135</v>
      </c>
      <c r="C13" s="442"/>
      <c r="D13" s="449"/>
      <c r="E13" s="444">
        <v>4.74</v>
      </c>
      <c r="F13" s="444"/>
      <c r="G13" s="445">
        <f t="shared" si="0"/>
        <v>0.6475409836065574</v>
      </c>
      <c r="H13" s="446">
        <v>100</v>
      </c>
      <c r="I13" s="447" t="s">
        <v>10</v>
      </c>
      <c r="J13" s="445">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48" t="s">
        <v>74</v>
      </c>
      <c r="C14" s="442"/>
      <c r="D14" s="449"/>
      <c r="E14" s="444">
        <v>4.74</v>
      </c>
      <c r="F14" s="444"/>
      <c r="G14" s="445">
        <f t="shared" si="0"/>
        <v>0.6475409836065574</v>
      </c>
      <c r="H14" s="446">
        <v>100</v>
      </c>
      <c r="I14" s="447" t="s">
        <v>10</v>
      </c>
      <c r="J14" s="445">
        <f t="shared" si="2"/>
        <v>0.006475409836065574</v>
      </c>
    </row>
    <row r="15" spans="2:10" ht="12.75">
      <c r="B15" s="452" t="s">
        <v>126</v>
      </c>
      <c r="C15" s="442"/>
      <c r="D15" s="449"/>
      <c r="E15" s="444">
        <v>12.75</v>
      </c>
      <c r="F15" s="444"/>
      <c r="G15" s="445">
        <f t="shared" si="0"/>
        <v>1.7418032786885245</v>
      </c>
      <c r="H15" s="446">
        <v>10</v>
      </c>
      <c r="I15" s="447" t="s">
        <v>10</v>
      </c>
      <c r="J15" s="445">
        <f t="shared" si="2"/>
        <v>0.17418032786885246</v>
      </c>
    </row>
    <row r="16" spans="2:17" ht="12.75">
      <c r="B16" s="451" t="s">
        <v>151</v>
      </c>
      <c r="C16" s="442"/>
      <c r="D16" s="449"/>
      <c r="E16" s="444">
        <v>12.75</v>
      </c>
      <c r="F16" s="444"/>
      <c r="G16" s="445">
        <f t="shared" si="0"/>
        <v>1.7418032786885245</v>
      </c>
      <c r="H16" s="446">
        <v>10</v>
      </c>
      <c r="I16" s="447" t="s">
        <v>10</v>
      </c>
      <c r="J16" s="445">
        <f t="shared" si="2"/>
        <v>0.17418032786885246</v>
      </c>
      <c r="P16" s="182"/>
      <c r="Q16" s="182"/>
    </row>
    <row r="17" spans="2:10" ht="12.75">
      <c r="B17" s="453" t="s">
        <v>173</v>
      </c>
      <c r="C17" s="442"/>
      <c r="D17" s="449"/>
      <c r="E17" s="444">
        <v>76</v>
      </c>
      <c r="F17" s="444"/>
      <c r="G17" s="445">
        <f t="shared" si="0"/>
        <v>10.382513661202186</v>
      </c>
      <c r="H17" s="446">
        <v>50</v>
      </c>
      <c r="I17" s="447" t="s">
        <v>10</v>
      </c>
      <c r="J17" s="445">
        <f t="shared" si="2"/>
        <v>0.20765027322404372</v>
      </c>
    </row>
    <row r="18" spans="2:10" ht="12.75">
      <c r="B18" s="452" t="s">
        <v>182</v>
      </c>
      <c r="C18" s="442"/>
      <c r="D18" s="449"/>
      <c r="E18" s="444">
        <v>18.9</v>
      </c>
      <c r="F18" s="444"/>
      <c r="G18" s="445">
        <f t="shared" si="0"/>
        <v>2.581967213114754</v>
      </c>
      <c r="H18" s="446">
        <v>50</v>
      </c>
      <c r="I18" s="447" t="s">
        <v>10</v>
      </c>
      <c r="J18" s="445">
        <f t="shared" si="2"/>
        <v>0.05163934426229508</v>
      </c>
    </row>
    <row r="19" spans="2:10" ht="12.75">
      <c r="B19" s="448" t="s">
        <v>61</v>
      </c>
      <c r="C19" s="442"/>
      <c r="D19" s="449"/>
      <c r="E19" s="444">
        <v>7</v>
      </c>
      <c r="F19" s="444"/>
      <c r="G19" s="445">
        <f t="shared" si="0"/>
        <v>0.9562841530054644</v>
      </c>
      <c r="H19" s="446">
        <v>1</v>
      </c>
      <c r="I19" s="447" t="s">
        <v>10</v>
      </c>
      <c r="J19" s="445">
        <f t="shared" si="1"/>
        <v>0.9562841530054644</v>
      </c>
    </row>
    <row r="20" spans="2:10" ht="12.75">
      <c r="B20" s="441" t="s">
        <v>87</v>
      </c>
      <c r="C20" s="442"/>
      <c r="D20" s="449"/>
      <c r="E20" s="444"/>
      <c r="F20" s="444"/>
      <c r="G20" s="445">
        <f t="shared" si="0"/>
        <v>0</v>
      </c>
      <c r="H20" s="446">
        <v>1</v>
      </c>
      <c r="I20" s="447" t="s">
        <v>10</v>
      </c>
      <c r="J20" s="445">
        <f t="shared" si="1"/>
        <v>0</v>
      </c>
    </row>
    <row r="21" spans="2:10" ht="12.75">
      <c r="B21" s="441" t="s">
        <v>186</v>
      </c>
      <c r="C21" s="442"/>
      <c r="D21" s="449"/>
      <c r="E21" s="444">
        <v>135</v>
      </c>
      <c r="F21" s="444"/>
      <c r="G21" s="445">
        <f>IF(E21&gt;0,E21/Exchange_rate,F21)</f>
        <v>18.442622950819672</v>
      </c>
      <c r="H21" s="446">
        <v>5000</v>
      </c>
      <c r="I21" s="447" t="s">
        <v>10</v>
      </c>
      <c r="J21" s="454">
        <f>G21/H21</f>
        <v>0.0036885245901639345</v>
      </c>
    </row>
    <row r="22" spans="2:10" ht="12.75">
      <c r="B22" s="451" t="s">
        <v>234</v>
      </c>
      <c r="C22" s="442"/>
      <c r="D22" s="449"/>
      <c r="E22" s="444">
        <v>135</v>
      </c>
      <c r="F22" s="444"/>
      <c r="G22" s="445">
        <f t="shared" si="0"/>
        <v>18.442622950819672</v>
      </c>
      <c r="H22" s="446">
        <v>5000</v>
      </c>
      <c r="I22" s="447" t="s">
        <v>10</v>
      </c>
      <c r="J22" s="454">
        <f t="shared" si="1"/>
        <v>0.0036885245901639345</v>
      </c>
    </row>
    <row r="23" spans="2:10" ht="12.75">
      <c r="B23" s="441" t="s">
        <v>65</v>
      </c>
      <c r="C23" s="442"/>
      <c r="D23" s="449"/>
      <c r="E23" s="444"/>
      <c r="F23" s="444"/>
      <c r="G23" s="445">
        <f t="shared" si="0"/>
        <v>0</v>
      </c>
      <c r="H23" s="446">
        <v>1</v>
      </c>
      <c r="I23" s="447" t="s">
        <v>10</v>
      </c>
      <c r="J23" s="445">
        <f t="shared" si="1"/>
        <v>0</v>
      </c>
    </row>
    <row r="24" spans="2:10" ht="12.75">
      <c r="B24" s="448" t="s">
        <v>75</v>
      </c>
      <c r="C24" s="442"/>
      <c r="D24" s="449"/>
      <c r="E24" s="444">
        <v>8.52</v>
      </c>
      <c r="F24" s="444"/>
      <c r="G24" s="445">
        <f t="shared" si="0"/>
        <v>1.1639344262295082</v>
      </c>
      <c r="H24" s="446">
        <v>10</v>
      </c>
      <c r="I24" s="447" t="s">
        <v>10</v>
      </c>
      <c r="J24" s="445">
        <f t="shared" si="1"/>
        <v>0.11639344262295082</v>
      </c>
    </row>
    <row r="25" spans="2:10" ht="12.75">
      <c r="B25" s="451" t="s">
        <v>68</v>
      </c>
      <c r="C25" s="442"/>
      <c r="D25" s="449"/>
      <c r="E25" s="444">
        <v>17.29</v>
      </c>
      <c r="F25" s="444"/>
      <c r="G25" s="445">
        <f t="shared" si="0"/>
        <v>2.362021857923497</v>
      </c>
      <c r="H25" s="446">
        <v>20</v>
      </c>
      <c r="I25" s="447" t="s">
        <v>10</v>
      </c>
      <c r="J25" s="445">
        <f t="shared" si="1"/>
        <v>0.11810109289617485</v>
      </c>
    </row>
    <row r="26" spans="2:10" ht="12.75">
      <c r="B26" s="451" t="s">
        <v>124</v>
      </c>
      <c r="C26" s="442"/>
      <c r="D26" s="449"/>
      <c r="E26" s="444">
        <f>E10</f>
        <v>125.12</v>
      </c>
      <c r="F26" s="444"/>
      <c r="G26" s="445">
        <f t="shared" si="0"/>
        <v>17.092896174863387</v>
      </c>
      <c r="H26" s="446">
        <v>100</v>
      </c>
      <c r="I26" s="447" t="s">
        <v>10</v>
      </c>
      <c r="J26" s="445">
        <f>G26/H26</f>
        <v>0.17092896174863387</v>
      </c>
    </row>
    <row r="27" spans="2:10" ht="12.75">
      <c r="B27" s="452" t="s">
        <v>134</v>
      </c>
      <c r="C27" s="442"/>
      <c r="D27" s="449"/>
      <c r="E27" s="444">
        <v>19.85</v>
      </c>
      <c r="F27" s="444"/>
      <c r="G27" s="445">
        <f t="shared" si="0"/>
        <v>2.7117486338797816</v>
      </c>
      <c r="H27" s="446">
        <v>100</v>
      </c>
      <c r="I27" s="447" t="s">
        <v>10</v>
      </c>
      <c r="J27" s="445">
        <f>G27/H27</f>
        <v>0.027117486338797816</v>
      </c>
    </row>
    <row r="28" spans="2:10" ht="12.75">
      <c r="B28" s="452" t="s">
        <v>139</v>
      </c>
      <c r="C28" s="442"/>
      <c r="D28" s="449"/>
      <c r="E28" s="444">
        <v>19.3</v>
      </c>
      <c r="F28" s="444"/>
      <c r="G28" s="445">
        <f t="shared" si="0"/>
        <v>2.6366120218579234</v>
      </c>
      <c r="H28" s="446">
        <v>100</v>
      </c>
      <c r="I28" s="447" t="s">
        <v>10</v>
      </c>
      <c r="J28" s="445">
        <f>G28/H28</f>
        <v>0.026366120218579234</v>
      </c>
    </row>
    <row r="29" spans="2:10" ht="12.75">
      <c r="B29" s="455" t="s">
        <v>133</v>
      </c>
      <c r="C29" s="442"/>
      <c r="D29" s="449"/>
      <c r="E29" s="444">
        <v>13</v>
      </c>
      <c r="F29" s="444"/>
      <c r="G29" s="445">
        <f t="shared" si="0"/>
        <v>1.7759562841530054</v>
      </c>
      <c r="H29" s="446">
        <v>50</v>
      </c>
      <c r="I29" s="447" t="s">
        <v>10</v>
      </c>
      <c r="J29" s="445">
        <f t="shared" si="1"/>
        <v>0.03551912568306011</v>
      </c>
    </row>
    <row r="30" spans="2:10" ht="12.75">
      <c r="B30" s="448" t="s">
        <v>51</v>
      </c>
      <c r="C30" s="442"/>
      <c r="D30" s="449"/>
      <c r="E30" s="444">
        <v>28.65</v>
      </c>
      <c r="F30" s="444"/>
      <c r="G30" s="445">
        <f t="shared" si="0"/>
        <v>3.913934426229508</v>
      </c>
      <c r="H30" s="446">
        <v>100</v>
      </c>
      <c r="I30" s="447" t="s">
        <v>10</v>
      </c>
      <c r="J30" s="445">
        <f t="shared" si="1"/>
        <v>0.03913934426229508</v>
      </c>
    </row>
    <row r="31" spans="2:10" ht="12.75">
      <c r="B31" s="448" t="s">
        <v>355</v>
      </c>
      <c r="C31" s="442"/>
      <c r="D31" s="449"/>
      <c r="E31" s="444"/>
      <c r="F31" s="444"/>
      <c r="G31" s="445"/>
      <c r="H31" s="446"/>
      <c r="I31" s="447"/>
      <c r="J31" s="445">
        <v>0.5</v>
      </c>
    </row>
    <row r="32" spans="2:10" ht="12.75">
      <c r="B32" s="452" t="s">
        <v>174</v>
      </c>
      <c r="C32" s="442"/>
      <c r="D32" s="449"/>
      <c r="E32" s="444">
        <v>135</v>
      </c>
      <c r="F32" s="444"/>
      <c r="G32" s="445">
        <f t="shared" si="0"/>
        <v>18.442622950819672</v>
      </c>
      <c r="H32" s="446">
        <v>5000</v>
      </c>
      <c r="I32" s="447" t="s">
        <v>10</v>
      </c>
      <c r="J32" s="454">
        <f>G32/H32</f>
        <v>0.0036885245901639345</v>
      </c>
    </row>
    <row r="33" spans="2:10" ht="12.75">
      <c r="B33" s="452" t="s">
        <v>195</v>
      </c>
      <c r="C33" s="442"/>
      <c r="D33" s="449"/>
      <c r="E33" s="444"/>
      <c r="F33" s="444"/>
      <c r="G33" s="445">
        <f>IF(E33&gt;0,E33/Exchange_rate,F33)</f>
        <v>0</v>
      </c>
      <c r="H33" s="446">
        <v>1</v>
      </c>
      <c r="I33" s="447" t="s">
        <v>10</v>
      </c>
      <c r="J33" s="445">
        <f>G33/H33</f>
        <v>0</v>
      </c>
    </row>
    <row r="34" spans="2:10" ht="12.75">
      <c r="B34" s="456" t="s">
        <v>235</v>
      </c>
      <c r="C34" s="442"/>
      <c r="D34" s="449"/>
      <c r="E34" s="444">
        <v>79.89</v>
      </c>
      <c r="F34" s="444"/>
      <c r="G34" s="445">
        <f t="shared" si="0"/>
        <v>10.913934426229508</v>
      </c>
      <c r="H34" s="446">
        <f>2*1000</f>
        <v>2000</v>
      </c>
      <c r="I34" s="447" t="s">
        <v>10</v>
      </c>
      <c r="J34" s="445">
        <f t="shared" si="1"/>
        <v>0.005456967213114754</v>
      </c>
    </row>
    <row r="35" spans="2:10" ht="12.75">
      <c r="B35" s="455" t="s">
        <v>179</v>
      </c>
      <c r="C35" s="442"/>
      <c r="D35" s="449"/>
      <c r="E35" s="444">
        <v>23.8</v>
      </c>
      <c r="F35" s="444"/>
      <c r="G35" s="445">
        <f t="shared" si="0"/>
        <v>3.251366120218579</v>
      </c>
      <c r="H35" s="446">
        <v>10</v>
      </c>
      <c r="I35" s="447" t="s">
        <v>10</v>
      </c>
      <c r="J35" s="445">
        <f>G35/H35</f>
        <v>0.3251366120218579</v>
      </c>
    </row>
    <row r="36" spans="2:10" ht="12.75">
      <c r="B36" s="457" t="s">
        <v>150</v>
      </c>
      <c r="C36" s="442"/>
      <c r="D36" s="449"/>
      <c r="E36" s="444">
        <v>135</v>
      </c>
      <c r="F36" s="444"/>
      <c r="G36" s="445">
        <f>IF(E36&gt;0,E36/Exchange_rate,F36)</f>
        <v>18.442622950819672</v>
      </c>
      <c r="H36" s="446">
        <v>1000</v>
      </c>
      <c r="I36" s="447" t="s">
        <v>10</v>
      </c>
      <c r="J36" s="445">
        <f>G36/H36</f>
        <v>0.018442622950819672</v>
      </c>
    </row>
    <row r="37" spans="2:10" ht="12.75">
      <c r="B37" s="448" t="s">
        <v>176</v>
      </c>
      <c r="C37" s="442"/>
      <c r="D37" s="449"/>
      <c r="E37" s="444">
        <v>59.88</v>
      </c>
      <c r="F37" s="444"/>
      <c r="G37" s="445">
        <f t="shared" si="0"/>
        <v>8.180327868852459</v>
      </c>
      <c r="H37" s="446">
        <v>12</v>
      </c>
      <c r="I37" s="447" t="s">
        <v>10</v>
      </c>
      <c r="J37" s="445">
        <f t="shared" si="1"/>
        <v>0.6816939890710382</v>
      </c>
    </row>
    <row r="38" spans="2:10" ht="12.75">
      <c r="B38" s="441" t="s">
        <v>175</v>
      </c>
      <c r="C38" s="442"/>
      <c r="D38" s="449"/>
      <c r="E38" s="444">
        <v>52.97</v>
      </c>
      <c r="F38" s="444"/>
      <c r="G38" s="445">
        <f t="shared" si="0"/>
        <v>7.2363387978142075</v>
      </c>
      <c r="H38" s="446">
        <v>1</v>
      </c>
      <c r="I38" s="447" t="s">
        <v>10</v>
      </c>
      <c r="J38" s="445">
        <f t="shared" si="1"/>
        <v>7.2363387978142075</v>
      </c>
    </row>
    <row r="39" spans="2:10" ht="12.75">
      <c r="B39" s="448" t="s">
        <v>60</v>
      </c>
      <c r="C39" s="442"/>
      <c r="D39" s="449"/>
      <c r="E39" s="444">
        <v>48.09</v>
      </c>
      <c r="F39" s="444"/>
      <c r="G39" s="445">
        <f t="shared" si="0"/>
        <v>6.5696721311475414</v>
      </c>
      <c r="H39" s="446">
        <v>1</v>
      </c>
      <c r="I39" s="447" t="s">
        <v>10</v>
      </c>
      <c r="J39" s="445">
        <f t="shared" si="1"/>
        <v>6.5696721311475414</v>
      </c>
    </row>
    <row r="40" spans="2:10" ht="12.75">
      <c r="B40" s="448" t="s">
        <v>56</v>
      </c>
      <c r="C40" s="442"/>
      <c r="D40" s="449"/>
      <c r="E40" s="444">
        <v>37.38</v>
      </c>
      <c r="F40" s="444"/>
      <c r="G40" s="445">
        <f t="shared" si="0"/>
        <v>5.106557377049181</v>
      </c>
      <c r="H40" s="446">
        <v>1</v>
      </c>
      <c r="I40" s="447" t="s">
        <v>10</v>
      </c>
      <c r="J40" s="445">
        <f t="shared" si="1"/>
        <v>5.106557377049181</v>
      </c>
    </row>
    <row r="41" spans="2:10" ht="12.75">
      <c r="B41" s="441" t="s">
        <v>56</v>
      </c>
      <c r="C41" s="442"/>
      <c r="D41" s="449"/>
      <c r="E41" s="444"/>
      <c r="F41" s="444"/>
      <c r="G41" s="445">
        <f t="shared" si="0"/>
        <v>0</v>
      </c>
      <c r="H41" s="446">
        <v>1</v>
      </c>
      <c r="I41" s="447" t="s">
        <v>10</v>
      </c>
      <c r="J41" s="445">
        <f t="shared" si="1"/>
        <v>0</v>
      </c>
    </row>
    <row r="42" spans="2:10" ht="12.75">
      <c r="B42" s="448" t="s">
        <v>188</v>
      </c>
      <c r="C42" s="442"/>
      <c r="D42" s="449"/>
      <c r="E42" s="444">
        <v>22.95</v>
      </c>
      <c r="F42" s="444"/>
      <c r="G42" s="445">
        <f t="shared" si="0"/>
        <v>3.135245901639344</v>
      </c>
      <c r="H42" s="446">
        <v>100</v>
      </c>
      <c r="I42" s="447" t="s">
        <v>10</v>
      </c>
      <c r="J42" s="445">
        <f t="shared" si="1"/>
        <v>0.03135245901639344</v>
      </c>
    </row>
    <row r="43" spans="2:10" ht="12.75">
      <c r="B43" s="448" t="s">
        <v>190</v>
      </c>
      <c r="C43" s="442"/>
      <c r="D43" s="449"/>
      <c r="E43" s="444">
        <v>15.38</v>
      </c>
      <c r="F43" s="444"/>
      <c r="G43" s="445">
        <f>IF(E43&gt;0,E43/Exchange_rate,F43)</f>
        <v>2.1010928961748636</v>
      </c>
      <c r="H43" s="446">
        <v>1</v>
      </c>
      <c r="I43" s="447" t="s">
        <v>10</v>
      </c>
      <c r="J43" s="445">
        <f>G43/H43</f>
        <v>2.1010928961748636</v>
      </c>
    </row>
    <row r="44" spans="2:10" ht="12.75">
      <c r="B44" s="448" t="s">
        <v>189</v>
      </c>
      <c r="C44" s="442"/>
      <c r="D44" s="449"/>
      <c r="E44" s="444">
        <v>13.75</v>
      </c>
      <c r="F44" s="444"/>
      <c r="G44" s="445">
        <f t="shared" si="0"/>
        <v>1.8784153005464481</v>
      </c>
      <c r="H44" s="446">
        <v>1</v>
      </c>
      <c r="I44" s="447" t="s">
        <v>10</v>
      </c>
      <c r="J44" s="445">
        <f t="shared" si="1"/>
        <v>1.8784153005464481</v>
      </c>
    </row>
    <row r="45" spans="2:10" ht="12.75">
      <c r="B45" s="451" t="s">
        <v>64</v>
      </c>
      <c r="C45" s="442"/>
      <c r="D45" s="449"/>
      <c r="E45" s="444">
        <v>32.04</v>
      </c>
      <c r="F45" s="444"/>
      <c r="G45" s="445">
        <f t="shared" si="0"/>
        <v>4.377049180327869</v>
      </c>
      <c r="H45" s="446">
        <v>1</v>
      </c>
      <c r="I45" s="447" t="s">
        <v>10</v>
      </c>
      <c r="J45" s="445">
        <f t="shared" si="1"/>
        <v>4.377049180327869</v>
      </c>
    </row>
    <row r="46" spans="2:10" ht="12.75">
      <c r="B46" s="458" t="s">
        <v>125</v>
      </c>
      <c r="C46" s="442"/>
      <c r="D46" s="449"/>
      <c r="E46" s="444"/>
      <c r="F46" s="444"/>
      <c r="G46" s="445">
        <f t="shared" si="0"/>
        <v>0</v>
      </c>
      <c r="H46" s="446">
        <v>1</v>
      </c>
      <c r="I46" s="447" t="s">
        <v>10</v>
      </c>
      <c r="J46" s="445">
        <f>G46/H46</f>
        <v>0</v>
      </c>
    </row>
    <row r="47" spans="2:10" ht="12.75">
      <c r="B47" s="459" t="s">
        <v>140</v>
      </c>
      <c r="C47" s="464"/>
      <c r="D47" s="465"/>
      <c r="E47" s="466"/>
      <c r="F47" s="466"/>
      <c r="G47" s="466"/>
      <c r="H47" s="467"/>
      <c r="I47" s="466"/>
      <c r="J47" s="468"/>
    </row>
    <row r="48" spans="2:10" ht="12.75">
      <c r="B48" s="460" t="s">
        <v>185</v>
      </c>
      <c r="C48" s="442"/>
      <c r="D48" s="449"/>
      <c r="E48" s="444">
        <v>128.15</v>
      </c>
      <c r="F48" s="444"/>
      <c r="G48" s="445">
        <f aca="true" t="shared" si="3" ref="G48:G53">IF(E48&gt;0,E48/Exchange_rate,F48)</f>
        <v>17.506830601092897</v>
      </c>
      <c r="H48" s="446">
        <v>1</v>
      </c>
      <c r="I48" s="447" t="s">
        <v>10</v>
      </c>
      <c r="J48" s="445">
        <f aca="true" t="shared" si="4" ref="J48:J53">G48/H48</f>
        <v>17.506830601092897</v>
      </c>
    </row>
    <row r="49" spans="2:10" ht="12.75">
      <c r="B49" s="452" t="s">
        <v>149</v>
      </c>
      <c r="C49" s="442"/>
      <c r="D49" s="449"/>
      <c r="E49" s="444">
        <v>123.49</v>
      </c>
      <c r="F49" s="444"/>
      <c r="G49" s="445">
        <f t="shared" si="3"/>
        <v>16.870218579234972</v>
      </c>
      <c r="H49" s="446">
        <v>1</v>
      </c>
      <c r="I49" s="447" t="s">
        <v>10</v>
      </c>
      <c r="J49" s="445">
        <f t="shared" si="4"/>
        <v>16.870218579234972</v>
      </c>
    </row>
    <row r="50" spans="2:10" ht="12.75">
      <c r="B50" s="452" t="s">
        <v>178</v>
      </c>
      <c r="C50" s="442"/>
      <c r="D50" s="449"/>
      <c r="E50" s="444">
        <v>128.15</v>
      </c>
      <c r="F50" s="444"/>
      <c r="G50" s="445">
        <f t="shared" si="3"/>
        <v>17.506830601092897</v>
      </c>
      <c r="H50" s="446">
        <v>1</v>
      </c>
      <c r="I50" s="447" t="s">
        <v>10</v>
      </c>
      <c r="J50" s="445">
        <f t="shared" si="4"/>
        <v>17.506830601092897</v>
      </c>
    </row>
    <row r="51" spans="2:10" ht="12.75">
      <c r="B51" s="455" t="s">
        <v>136</v>
      </c>
      <c r="C51" s="442"/>
      <c r="D51" s="449"/>
      <c r="E51" s="444">
        <v>17.15</v>
      </c>
      <c r="F51" s="444"/>
      <c r="G51" s="445">
        <f t="shared" si="3"/>
        <v>2.342896174863388</v>
      </c>
      <c r="H51" s="446">
        <v>50</v>
      </c>
      <c r="I51" s="447" t="s">
        <v>10</v>
      </c>
      <c r="J51" s="445">
        <f t="shared" si="4"/>
        <v>0.04685792349726776</v>
      </c>
    </row>
    <row r="52" spans="2:10" ht="12.75">
      <c r="B52" s="460" t="s">
        <v>137</v>
      </c>
      <c r="C52" s="442"/>
      <c r="D52" s="449"/>
      <c r="E52" s="444"/>
      <c r="F52" s="444"/>
      <c r="G52" s="445">
        <f t="shared" si="3"/>
        <v>0</v>
      </c>
      <c r="H52" s="446">
        <v>1</v>
      </c>
      <c r="I52" s="447" t="s">
        <v>10</v>
      </c>
      <c r="J52" s="445">
        <f t="shared" si="4"/>
        <v>0</v>
      </c>
    </row>
    <row r="53" spans="2:10" ht="12.75">
      <c r="B53" s="460" t="s">
        <v>138</v>
      </c>
      <c r="C53" s="442"/>
      <c r="D53" s="449"/>
      <c r="E53" s="444">
        <v>3.85</v>
      </c>
      <c r="F53" s="444"/>
      <c r="G53" s="445">
        <f t="shared" si="3"/>
        <v>0.5259562841530054</v>
      </c>
      <c r="H53" s="446">
        <v>1</v>
      </c>
      <c r="I53" s="447" t="s">
        <v>10</v>
      </c>
      <c r="J53" s="445">
        <f t="shared" si="4"/>
        <v>0.5259562841530054</v>
      </c>
    </row>
    <row r="54" spans="2:10" ht="12.75">
      <c r="B54" s="461" t="s">
        <v>152</v>
      </c>
      <c r="C54" s="464"/>
      <c r="D54" s="465"/>
      <c r="E54" s="466"/>
      <c r="F54" s="466"/>
      <c r="G54" s="466"/>
      <c r="H54" s="467"/>
      <c r="I54" s="466"/>
      <c r="J54" s="468"/>
    </row>
    <row r="55" spans="2:10" ht="12.75">
      <c r="B55" s="452" t="s">
        <v>141</v>
      </c>
      <c r="C55" s="442"/>
      <c r="D55" s="449"/>
      <c r="E55" s="444">
        <v>8.05</v>
      </c>
      <c r="F55" s="444"/>
      <c r="G55" s="445">
        <f aca="true" t="shared" si="5" ref="G55:G64">IF(E55&gt;0,E55/Exchange_rate,F55)</f>
        <v>1.099726775956284</v>
      </c>
      <c r="H55" s="446">
        <v>1</v>
      </c>
      <c r="I55" s="447" t="s">
        <v>10</v>
      </c>
      <c r="J55" s="445">
        <f aca="true" t="shared" si="6" ref="J55:J73">G55/H55</f>
        <v>1.099726775956284</v>
      </c>
    </row>
    <row r="56" spans="2:10" ht="12.75">
      <c r="B56" s="452" t="s">
        <v>143</v>
      </c>
      <c r="C56" s="442"/>
      <c r="D56" s="449"/>
      <c r="E56" s="444">
        <v>69.75</v>
      </c>
      <c r="F56" s="444"/>
      <c r="G56" s="445">
        <f t="shared" si="5"/>
        <v>9.528688524590164</v>
      </c>
      <c r="H56" s="446">
        <v>1</v>
      </c>
      <c r="I56" s="447" t="s">
        <v>10</v>
      </c>
      <c r="J56" s="445">
        <f t="shared" si="6"/>
        <v>9.528688524590164</v>
      </c>
    </row>
    <row r="57" spans="2:10" ht="12.75">
      <c r="B57" s="452" t="s">
        <v>142</v>
      </c>
      <c r="C57" s="442"/>
      <c r="D57" s="449"/>
      <c r="E57" s="444">
        <v>14.8</v>
      </c>
      <c r="F57" s="444"/>
      <c r="G57" s="445">
        <f t="shared" si="5"/>
        <v>2.021857923497268</v>
      </c>
      <c r="H57" s="446">
        <v>1</v>
      </c>
      <c r="I57" s="447" t="s">
        <v>10</v>
      </c>
      <c r="J57" s="445">
        <f t="shared" si="6"/>
        <v>2.021857923497268</v>
      </c>
    </row>
    <row r="58" spans="2:10" ht="12.75">
      <c r="B58" s="452" t="s">
        <v>145</v>
      </c>
      <c r="C58" s="442"/>
      <c r="D58" s="449"/>
      <c r="E58" s="444">
        <v>13.4</v>
      </c>
      <c r="F58" s="444"/>
      <c r="G58" s="445">
        <f t="shared" si="5"/>
        <v>1.830601092896175</v>
      </c>
      <c r="H58" s="446">
        <v>1</v>
      </c>
      <c r="I58" s="447" t="s">
        <v>10</v>
      </c>
      <c r="J58" s="445">
        <f t="shared" si="6"/>
        <v>1.830601092896175</v>
      </c>
    </row>
    <row r="59" spans="2:10" ht="12.75">
      <c r="B59" s="452" t="s">
        <v>144</v>
      </c>
      <c r="C59" s="442"/>
      <c r="D59" s="449"/>
      <c r="E59" s="444">
        <v>13.4</v>
      </c>
      <c r="F59" s="444"/>
      <c r="G59" s="445">
        <f t="shared" si="5"/>
        <v>1.830601092896175</v>
      </c>
      <c r="H59" s="446">
        <v>1</v>
      </c>
      <c r="I59" s="447" t="s">
        <v>10</v>
      </c>
      <c r="J59" s="445">
        <f t="shared" si="6"/>
        <v>1.830601092896175</v>
      </c>
    </row>
    <row r="60" spans="2:10" ht="12.75">
      <c r="B60" s="452" t="s">
        <v>146</v>
      </c>
      <c r="C60" s="442"/>
      <c r="D60" s="449"/>
      <c r="E60" s="444">
        <v>19.5</v>
      </c>
      <c r="F60" s="444"/>
      <c r="G60" s="445">
        <f t="shared" si="5"/>
        <v>2.663934426229508</v>
      </c>
      <c r="H60" s="446">
        <v>1</v>
      </c>
      <c r="I60" s="447" t="s">
        <v>10</v>
      </c>
      <c r="J60" s="445">
        <f t="shared" si="6"/>
        <v>2.663934426229508</v>
      </c>
    </row>
    <row r="61" spans="2:10" ht="12.75">
      <c r="B61" s="452" t="s">
        <v>192</v>
      </c>
      <c r="C61" s="442"/>
      <c r="D61" s="449"/>
      <c r="E61" s="444">
        <v>16</v>
      </c>
      <c r="F61" s="444"/>
      <c r="G61" s="445">
        <f t="shared" si="5"/>
        <v>2.1857923497267757</v>
      </c>
      <c r="H61" s="446">
        <v>1</v>
      </c>
      <c r="I61" s="447" t="s">
        <v>10</v>
      </c>
      <c r="J61" s="445">
        <f t="shared" si="6"/>
        <v>2.1857923497267757</v>
      </c>
    </row>
    <row r="62" spans="2:10" ht="12.75">
      <c r="B62" s="452" t="s">
        <v>147</v>
      </c>
      <c r="C62" s="442"/>
      <c r="D62" s="449"/>
      <c r="E62" s="444">
        <v>15.4</v>
      </c>
      <c r="F62" s="444"/>
      <c r="G62" s="445">
        <f t="shared" si="5"/>
        <v>2.1038251366120218</v>
      </c>
      <c r="H62" s="446">
        <v>1</v>
      </c>
      <c r="I62" s="447" t="s">
        <v>10</v>
      </c>
      <c r="J62" s="445">
        <f t="shared" si="6"/>
        <v>2.1038251366120218</v>
      </c>
    </row>
    <row r="63" spans="2:10" ht="12.75">
      <c r="B63" s="452" t="s">
        <v>148</v>
      </c>
      <c r="C63" s="442"/>
      <c r="D63" s="449"/>
      <c r="E63" s="444">
        <v>24.6</v>
      </c>
      <c r="F63" s="444"/>
      <c r="G63" s="445">
        <f t="shared" si="5"/>
        <v>3.360655737704918</v>
      </c>
      <c r="H63" s="446">
        <v>1</v>
      </c>
      <c r="I63" s="447" t="s">
        <v>10</v>
      </c>
      <c r="J63" s="445">
        <f t="shared" si="6"/>
        <v>3.360655737704918</v>
      </c>
    </row>
    <row r="64" spans="2:10" ht="12.75">
      <c r="B64" s="452" t="s">
        <v>177</v>
      </c>
      <c r="C64" s="442"/>
      <c r="D64" s="449"/>
      <c r="E64" s="444">
        <v>123.75</v>
      </c>
      <c r="F64" s="444"/>
      <c r="G64" s="445">
        <f t="shared" si="5"/>
        <v>16.90573770491803</v>
      </c>
      <c r="H64" s="446">
        <v>1</v>
      </c>
      <c r="I64" s="447" t="s">
        <v>10</v>
      </c>
      <c r="J64" s="445">
        <f t="shared" si="6"/>
        <v>16.90573770491803</v>
      </c>
    </row>
    <row r="65" spans="2:10" ht="12.75">
      <c r="B65" s="462" t="s">
        <v>153</v>
      </c>
      <c r="C65" s="469"/>
      <c r="D65" s="470"/>
      <c r="E65" s="471"/>
      <c r="F65" s="471"/>
      <c r="G65" s="466"/>
      <c r="H65" s="472"/>
      <c r="I65" s="473"/>
      <c r="J65" s="474"/>
    </row>
    <row r="66" spans="2:10" ht="12.75">
      <c r="B66" s="452" t="s">
        <v>154</v>
      </c>
      <c r="C66" s="442"/>
      <c r="D66" s="443"/>
      <c r="E66" s="444">
        <v>27.34</v>
      </c>
      <c r="F66" s="444"/>
      <c r="G66" s="445">
        <f aca="true" t="shared" si="7" ref="G66:G73">IF(E66&gt;0,E66/Exchange_rate,F66)</f>
        <v>3.7349726775956285</v>
      </c>
      <c r="H66" s="446">
        <v>1</v>
      </c>
      <c r="I66" s="447" t="s">
        <v>10</v>
      </c>
      <c r="J66" s="445">
        <f t="shared" si="6"/>
        <v>3.7349726775956285</v>
      </c>
    </row>
    <row r="67" spans="2:10" ht="12.75">
      <c r="B67" s="463" t="s">
        <v>193</v>
      </c>
      <c r="C67" s="442"/>
      <c r="D67" s="443"/>
      <c r="E67" s="444">
        <v>15.5</v>
      </c>
      <c r="F67" s="444"/>
      <c r="G67" s="445">
        <f t="shared" si="7"/>
        <v>2.1174863387978142</v>
      </c>
      <c r="H67" s="446">
        <v>10</v>
      </c>
      <c r="I67" s="447" t="s">
        <v>10</v>
      </c>
      <c r="J67" s="445">
        <f t="shared" si="6"/>
        <v>0.21174863387978143</v>
      </c>
    </row>
    <row r="68" spans="2:10" ht="12.75">
      <c r="B68" s="463" t="s">
        <v>155</v>
      </c>
      <c r="C68" s="442"/>
      <c r="D68" s="443"/>
      <c r="E68" s="444">
        <v>18.9</v>
      </c>
      <c r="F68" s="444"/>
      <c r="G68" s="445">
        <f t="shared" si="7"/>
        <v>2.581967213114754</v>
      </c>
      <c r="H68" s="446">
        <v>10</v>
      </c>
      <c r="I68" s="447" t="s">
        <v>10</v>
      </c>
      <c r="J68" s="445">
        <f t="shared" si="6"/>
        <v>0.2581967213114754</v>
      </c>
    </row>
    <row r="69" spans="2:10" ht="12.75">
      <c r="B69" s="463" t="s">
        <v>156</v>
      </c>
      <c r="C69" s="442"/>
      <c r="D69" s="443"/>
      <c r="E69" s="444">
        <v>23</v>
      </c>
      <c r="F69" s="444"/>
      <c r="G69" s="445">
        <f t="shared" si="7"/>
        <v>3.14207650273224</v>
      </c>
      <c r="H69" s="446">
        <v>10</v>
      </c>
      <c r="I69" s="447" t="s">
        <v>10</v>
      </c>
      <c r="J69" s="445">
        <f t="shared" si="6"/>
        <v>0.314207650273224</v>
      </c>
    </row>
    <row r="70" spans="2:10" ht="12.75">
      <c r="B70" s="463" t="s">
        <v>157</v>
      </c>
      <c r="C70" s="442"/>
      <c r="D70" s="443"/>
      <c r="E70" s="444">
        <v>12.2</v>
      </c>
      <c r="F70" s="444"/>
      <c r="G70" s="445">
        <f t="shared" si="7"/>
        <v>1.6666666666666665</v>
      </c>
      <c r="H70" s="446">
        <v>1</v>
      </c>
      <c r="I70" s="447" t="s">
        <v>10</v>
      </c>
      <c r="J70" s="445">
        <f t="shared" si="6"/>
        <v>1.6666666666666665</v>
      </c>
    </row>
    <row r="71" spans="2:10" ht="12.75">
      <c r="B71" s="463" t="s">
        <v>158</v>
      </c>
      <c r="C71" s="442"/>
      <c r="D71" s="443"/>
      <c r="E71" s="444">
        <v>25</v>
      </c>
      <c r="F71" s="444"/>
      <c r="G71" s="445">
        <f t="shared" si="7"/>
        <v>3.4153005464480874</v>
      </c>
      <c r="H71" s="446">
        <v>1</v>
      </c>
      <c r="I71" s="447" t="s">
        <v>10</v>
      </c>
      <c r="J71" s="445">
        <f t="shared" si="6"/>
        <v>3.4153005464480874</v>
      </c>
    </row>
    <row r="72" spans="2:10" ht="12.75">
      <c r="B72" s="463" t="s">
        <v>159</v>
      </c>
      <c r="C72" s="442"/>
      <c r="D72" s="443"/>
      <c r="E72" s="444">
        <v>9.6</v>
      </c>
      <c r="F72" s="444"/>
      <c r="G72" s="445">
        <f t="shared" si="7"/>
        <v>1.3114754098360655</v>
      </c>
      <c r="H72" s="446">
        <v>1</v>
      </c>
      <c r="I72" s="447" t="s">
        <v>10</v>
      </c>
      <c r="J72" s="445">
        <f t="shared" si="6"/>
        <v>1.3114754098360655</v>
      </c>
    </row>
    <row r="73" spans="2:10" ht="12.75">
      <c r="B73" s="463" t="s">
        <v>160</v>
      </c>
      <c r="C73" s="442"/>
      <c r="D73" s="443"/>
      <c r="E73" s="444">
        <v>10.65</v>
      </c>
      <c r="F73" s="444"/>
      <c r="G73" s="445">
        <f t="shared" si="7"/>
        <v>1.4549180327868851</v>
      </c>
      <c r="H73" s="446">
        <v>1</v>
      </c>
      <c r="I73" s="447" t="s">
        <v>10</v>
      </c>
      <c r="J73" s="445">
        <f t="shared" si="6"/>
        <v>1.4549180327868851</v>
      </c>
    </row>
    <row r="74" spans="2:10" ht="12.75">
      <c r="B74" s="487"/>
      <c r="C74" s="475"/>
      <c r="D74" s="438"/>
      <c r="E74" s="476"/>
      <c r="F74" s="476"/>
      <c r="G74" s="477"/>
      <c r="H74" s="478"/>
      <c r="I74" s="479"/>
      <c r="J74" s="480"/>
    </row>
    <row r="75" spans="2:10" ht="12.75">
      <c r="B75" s="486" t="s">
        <v>236</v>
      </c>
      <c r="C75" s="481"/>
      <c r="D75" s="439"/>
      <c r="E75" s="482"/>
      <c r="F75" s="482"/>
      <c r="G75" s="483"/>
      <c r="H75" s="484"/>
      <c r="I75" s="485"/>
      <c r="J75" s="440"/>
    </row>
    <row r="76" spans="2:10" ht="12.75">
      <c r="B76" s="463" t="s">
        <v>251</v>
      </c>
      <c r="C76" s="442"/>
      <c r="D76" s="443"/>
      <c r="E76" s="444">
        <v>17.1</v>
      </c>
      <c r="F76" s="444"/>
      <c r="G76" s="445">
        <f aca="true" t="shared" si="8" ref="G76:G82">IF(E76&gt;0,E76/Exchange_rate,F76)</f>
        <v>2.336065573770492</v>
      </c>
      <c r="H76" s="446">
        <v>1</v>
      </c>
      <c r="I76" s="447" t="s">
        <v>10</v>
      </c>
      <c r="J76" s="445">
        <f aca="true" t="shared" si="9" ref="J76:J82">G76/H76</f>
        <v>2.336065573770492</v>
      </c>
    </row>
    <row r="77" spans="2:10" ht="12.75">
      <c r="B77" s="463" t="s">
        <v>252</v>
      </c>
      <c r="C77" s="442"/>
      <c r="D77" s="443"/>
      <c r="E77" s="444">
        <v>18</v>
      </c>
      <c r="F77" s="444"/>
      <c r="G77" s="445">
        <f t="shared" si="8"/>
        <v>2.459016393442623</v>
      </c>
      <c r="H77" s="446">
        <v>1</v>
      </c>
      <c r="I77" s="447" t="s">
        <v>10</v>
      </c>
      <c r="J77" s="445">
        <f t="shared" si="9"/>
        <v>2.459016393442623</v>
      </c>
    </row>
    <row r="78" spans="2:10" ht="12.75">
      <c r="B78" s="448" t="s">
        <v>241</v>
      </c>
      <c r="C78" s="442"/>
      <c r="D78" s="443"/>
      <c r="E78" s="444"/>
      <c r="F78" s="444"/>
      <c r="G78" s="445">
        <f t="shared" si="8"/>
        <v>0</v>
      </c>
      <c r="H78" s="446">
        <v>1</v>
      </c>
      <c r="I78" s="447" t="s">
        <v>10</v>
      </c>
      <c r="J78" s="445">
        <f t="shared" si="9"/>
        <v>0</v>
      </c>
    </row>
    <row r="79" spans="2:10" ht="12.75">
      <c r="B79" s="448"/>
      <c r="C79" s="442"/>
      <c r="D79" s="443"/>
      <c r="E79" s="444"/>
      <c r="F79" s="444"/>
      <c r="G79" s="445">
        <f t="shared" si="8"/>
        <v>0</v>
      </c>
      <c r="H79" s="446">
        <v>1</v>
      </c>
      <c r="I79" s="447" t="s">
        <v>10</v>
      </c>
      <c r="J79" s="445">
        <f t="shared" si="9"/>
        <v>0</v>
      </c>
    </row>
    <row r="80" spans="2:10" ht="12.75">
      <c r="B80" s="448"/>
      <c r="C80" s="442"/>
      <c r="D80" s="443"/>
      <c r="E80" s="444"/>
      <c r="F80" s="444"/>
      <c r="G80" s="445">
        <f t="shared" si="8"/>
        <v>0</v>
      </c>
      <c r="H80" s="446">
        <v>1</v>
      </c>
      <c r="I80" s="447" t="s">
        <v>10</v>
      </c>
      <c r="J80" s="445">
        <f t="shared" si="9"/>
        <v>0</v>
      </c>
    </row>
    <row r="81" spans="2:10" ht="12.75">
      <c r="B81" s="448"/>
      <c r="C81" s="442"/>
      <c r="D81" s="443"/>
      <c r="E81" s="444"/>
      <c r="F81" s="444"/>
      <c r="G81" s="445">
        <f t="shared" si="8"/>
        <v>0</v>
      </c>
      <c r="H81" s="446">
        <v>1</v>
      </c>
      <c r="I81" s="447" t="s">
        <v>10</v>
      </c>
      <c r="J81" s="445">
        <f t="shared" si="9"/>
        <v>0</v>
      </c>
    </row>
    <row r="82" spans="2:10" ht="12.75">
      <c r="B82" s="448"/>
      <c r="C82" s="442"/>
      <c r="D82" s="443"/>
      <c r="E82" s="444"/>
      <c r="F82" s="444"/>
      <c r="G82" s="445">
        <f t="shared" si="8"/>
        <v>0</v>
      </c>
      <c r="H82" s="446">
        <v>1</v>
      </c>
      <c r="I82" s="447" t="s">
        <v>10</v>
      </c>
      <c r="J82" s="445">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4.8515625" style="0" customWidth="1"/>
    <col min="5" max="5" width="11.7109375" style="0" customWidth="1"/>
    <col min="24" max="24" width="0" style="0" hidden="1" customWidth="1"/>
    <col min="25" max="25" width="9.140625" style="0" hidden="1" customWidth="1"/>
    <col min="26" max="26" width="0" style="0" hidden="1" customWidth="1"/>
  </cols>
  <sheetData>
    <row r="1" spans="1:59" s="65" customFormat="1" ht="18">
      <c r="A1" s="386"/>
      <c r="B1" s="679" t="s">
        <v>425</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row>
    <row r="2" spans="2:59"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row>
    <row r="3" spans="2:25" s="12" customFormat="1" ht="12.75" customHeight="1">
      <c r="B3" s="725" t="s">
        <v>282</v>
      </c>
      <c r="C3" s="725"/>
      <c r="D3" s="407"/>
      <c r="E3" s="13"/>
      <c r="F3" s="10"/>
      <c r="G3" s="10"/>
      <c r="H3" s="10"/>
      <c r="I3" s="10"/>
      <c r="J3" s="10"/>
      <c r="K3" s="11"/>
      <c r="L3" s="11"/>
      <c r="M3" s="11"/>
      <c r="N3" s="11"/>
      <c r="O3" s="11"/>
      <c r="P3" s="11"/>
      <c r="Q3" s="11"/>
      <c r="R3" s="11"/>
      <c r="S3" s="11"/>
      <c r="T3" s="11"/>
      <c r="U3" s="11"/>
      <c r="V3" s="11"/>
      <c r="Y3" s="355" t="s">
        <v>275</v>
      </c>
    </row>
    <row r="4" spans="2:25" ht="12.75">
      <c r="B4" s="433" t="s">
        <v>256</v>
      </c>
      <c r="C4" s="427"/>
      <c r="Y4" t="s">
        <v>276</v>
      </c>
    </row>
    <row r="5" spans="2:3" ht="12.75">
      <c r="B5" s="437" t="s">
        <v>257</v>
      </c>
      <c r="C5" s="628">
        <v>1</v>
      </c>
    </row>
    <row r="6" spans="2:3" ht="12.75">
      <c r="B6" s="424" t="s">
        <v>258</v>
      </c>
      <c r="C6" s="599">
        <v>2</v>
      </c>
    </row>
    <row r="7" spans="2:3" ht="12.75">
      <c r="B7" s="424" t="s">
        <v>279</v>
      </c>
      <c r="C7" s="599">
        <f>'Direct Cost - Personnel'!N51</f>
        <v>1</v>
      </c>
    </row>
    <row r="8" spans="2:3" ht="12.75">
      <c r="B8" s="424" t="s">
        <v>280</v>
      </c>
      <c r="C8" s="599">
        <f>'Direct Cost - Personnel'!N47</f>
        <v>1</v>
      </c>
    </row>
    <row r="9" spans="2:3" ht="12.75">
      <c r="B9" s="424" t="s">
        <v>259</v>
      </c>
      <c r="C9" s="420">
        <f>C5*C7</f>
        <v>1</v>
      </c>
    </row>
    <row r="10" spans="2:3" ht="12.75">
      <c r="B10" s="424" t="s">
        <v>260</v>
      </c>
      <c r="C10" s="420">
        <f>C6*C8</f>
        <v>2</v>
      </c>
    </row>
    <row r="11" spans="2:5" ht="12.75">
      <c r="B11" s="434" t="s">
        <v>261</v>
      </c>
      <c r="C11" s="427"/>
      <c r="D11" s="696" t="s">
        <v>436</v>
      </c>
      <c r="E11" s="695" t="s">
        <v>437</v>
      </c>
    </row>
    <row r="12" spans="2:5" ht="12.75">
      <c r="B12" s="424" t="s">
        <v>262</v>
      </c>
      <c r="C12" s="426">
        <v>68.30601092896174</v>
      </c>
      <c r="D12" s="629">
        <v>0</v>
      </c>
      <c r="E12" s="629">
        <v>68.30601092896174</v>
      </c>
    </row>
    <row r="13" spans="2:3" ht="12.75">
      <c r="B13" s="424" t="s">
        <v>263</v>
      </c>
      <c r="C13" s="420">
        <f>C9+C10</f>
        <v>3</v>
      </c>
    </row>
    <row r="14" spans="2:3" ht="12.75">
      <c r="B14" s="424" t="s">
        <v>264</v>
      </c>
      <c r="C14" s="426">
        <f>C12*C13</f>
        <v>204.91803278688522</v>
      </c>
    </row>
    <row r="15" spans="2:3" ht="12.75">
      <c r="B15" s="434" t="s">
        <v>274</v>
      </c>
      <c r="C15" s="427"/>
    </row>
    <row r="16" spans="2:3" ht="12.75">
      <c r="B16" s="425" t="s">
        <v>277</v>
      </c>
      <c r="C16" s="592" t="s">
        <v>275</v>
      </c>
    </row>
    <row r="17" spans="2:3" ht="12.75">
      <c r="B17" s="424" t="s">
        <v>422</v>
      </c>
      <c r="C17" s="420">
        <f>8*C9</f>
        <v>8</v>
      </c>
    </row>
    <row r="18" spans="2:3" ht="12.75">
      <c r="B18" s="424" t="s">
        <v>423</v>
      </c>
      <c r="C18" s="420">
        <f>8*C10</f>
        <v>16</v>
      </c>
    </row>
    <row r="19" spans="2:3" ht="12.75">
      <c r="B19" s="424" t="s">
        <v>266</v>
      </c>
      <c r="C19" s="426">
        <f>IF(C16="No",'Cost Inputs - Personnel'!L23*'Direct Cost - Training'!C17,0)</f>
        <v>0</v>
      </c>
    </row>
    <row r="20" spans="2:3" ht="12.75">
      <c r="B20" s="424" t="s">
        <v>267</v>
      </c>
      <c r="C20" s="426">
        <f>IF(C16="No",'Cost Inputs - Personnel'!L18*'Direct Cost - Training'!C18,0)</f>
        <v>0</v>
      </c>
    </row>
    <row r="21" spans="2:3" ht="12.75">
      <c r="B21" s="424" t="s">
        <v>264</v>
      </c>
      <c r="C21" s="426">
        <f>C19+C20</f>
        <v>0</v>
      </c>
    </row>
    <row r="22" spans="2:3" ht="12.75">
      <c r="B22" s="436" t="s">
        <v>162</v>
      </c>
      <c r="C22" s="429">
        <f>C14+C21</f>
        <v>204.91803278688522</v>
      </c>
    </row>
    <row r="23" spans="2:3" ht="12.75">
      <c r="B23" s="428"/>
      <c r="C23" s="428"/>
    </row>
    <row r="24" spans="2:3" ht="12.75">
      <c r="B24" s="433" t="s">
        <v>268</v>
      </c>
      <c r="C24" s="427"/>
    </row>
    <row r="25" spans="2:3" ht="12.75">
      <c r="B25" s="424" t="s">
        <v>269</v>
      </c>
      <c r="C25" s="599">
        <v>3</v>
      </c>
    </row>
    <row r="26" spans="2:3" ht="12.75">
      <c r="B26" s="424" t="s">
        <v>281</v>
      </c>
      <c r="C26" s="599">
        <f>'Direct Cost - Personnel'!N46</f>
        <v>1</v>
      </c>
    </row>
    <row r="27" spans="2:3" ht="12.75">
      <c r="B27" s="424" t="s">
        <v>270</v>
      </c>
      <c r="C27" s="420">
        <f>C25*C26</f>
        <v>3</v>
      </c>
    </row>
    <row r="28" spans="2:5" ht="12.75">
      <c r="B28" s="435" t="s">
        <v>261</v>
      </c>
      <c r="C28" s="420"/>
      <c r="D28" s="696" t="s">
        <v>436</v>
      </c>
      <c r="E28" s="695" t="s">
        <v>437</v>
      </c>
    </row>
    <row r="29" spans="2:5" ht="12.75">
      <c r="B29" s="424" t="s">
        <v>262</v>
      </c>
      <c r="C29" s="426">
        <v>68.30601092896174</v>
      </c>
      <c r="D29" s="629">
        <v>0</v>
      </c>
      <c r="E29" s="629">
        <v>68.30601092896174</v>
      </c>
    </row>
    <row r="30" spans="2:3" ht="12.75">
      <c r="B30" s="424" t="s">
        <v>263</v>
      </c>
      <c r="C30" s="420">
        <f>C27</f>
        <v>3</v>
      </c>
    </row>
    <row r="31" spans="2:3" ht="12.75">
      <c r="B31" s="424" t="s">
        <v>264</v>
      </c>
      <c r="C31" s="426">
        <f>C29*C30</f>
        <v>204.91803278688522</v>
      </c>
    </row>
    <row r="32" spans="2:3" ht="12.75">
      <c r="B32" s="435" t="s">
        <v>265</v>
      </c>
      <c r="C32" s="420"/>
    </row>
    <row r="33" spans="2:3" ht="12.75">
      <c r="B33" s="425" t="s">
        <v>277</v>
      </c>
      <c r="C33" s="592" t="s">
        <v>275</v>
      </c>
    </row>
    <row r="34" spans="2:3" ht="12.75">
      <c r="B34" s="424" t="s">
        <v>271</v>
      </c>
      <c r="C34" s="420">
        <f>8*C27</f>
        <v>24</v>
      </c>
    </row>
    <row r="35" spans="2:3" ht="12.75">
      <c r="B35" s="424" t="s">
        <v>272</v>
      </c>
      <c r="C35" s="426">
        <f>IF(C33="No",'Cost Inputs - Personnel'!L17*'Direct Cost - Training'!C34,0)</f>
        <v>0</v>
      </c>
    </row>
    <row r="36" spans="2:3" ht="12.75">
      <c r="B36" s="436" t="s">
        <v>162</v>
      </c>
      <c r="C36" s="430">
        <f>C31+C35</f>
        <v>204.91803278688522</v>
      </c>
    </row>
    <row r="38" spans="2:3" ht="12.75">
      <c r="B38" s="353" t="s">
        <v>273</v>
      </c>
      <c r="C38" s="431">
        <f>C22+C36</f>
        <v>409.83606557377044</v>
      </c>
    </row>
    <row r="39" spans="2:3" ht="12.75">
      <c r="B39" s="354" t="s">
        <v>424</v>
      </c>
      <c r="C39" s="432">
        <f>C38/Clients_MC</f>
        <v>1.5179113539769276</v>
      </c>
    </row>
  </sheetData>
  <sheetProtection/>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Amy Rupert</cp:lastModifiedBy>
  <dcterms:created xsi:type="dcterms:W3CDTF">2007-01-31T14:13:02Z</dcterms:created>
  <dcterms:modified xsi:type="dcterms:W3CDTF">2014-07-25T16:53:27Z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